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<sst xmlns="http://schemas.openxmlformats.org/spreadsheetml/2006/main" count="225" uniqueCount="188">
  <si>
    <t>مشخصات کارخانه</t>
  </si>
  <si>
    <t>چغندر یا نیشکر</t>
  </si>
  <si>
    <t>زمان بهره برداری</t>
  </si>
  <si>
    <t>درصد قند چغندر یا نیشکر</t>
  </si>
  <si>
    <t>قندوشکر تولیدی ویژه</t>
  </si>
  <si>
    <t>بازدهی</t>
  </si>
  <si>
    <t>درصد ضایعات قند</t>
  </si>
  <si>
    <t>ملاس و مصرف آن</t>
  </si>
  <si>
    <t>محصولات فرعی</t>
  </si>
  <si>
    <t>نسبت چغندر و نیشکر</t>
  </si>
  <si>
    <t>درجه خلوص</t>
  </si>
  <si>
    <t>درصد مواد مصرفی  نسبت به چغندر و نیشکر</t>
  </si>
  <si>
    <t>ملاحظات</t>
  </si>
  <si>
    <t>ردیف</t>
  </si>
  <si>
    <t>نام كارخانه</t>
  </si>
  <si>
    <t>تربت حيدريه</t>
  </si>
  <si>
    <t xml:space="preserve">چناران </t>
  </si>
  <si>
    <t xml:space="preserve">شيروان </t>
  </si>
  <si>
    <t>شيرين</t>
  </si>
  <si>
    <t>فريمان</t>
  </si>
  <si>
    <t>نيشابور</t>
  </si>
  <si>
    <t>شاهرود</t>
  </si>
  <si>
    <t>اروميه</t>
  </si>
  <si>
    <t>پيرانشهر</t>
  </si>
  <si>
    <t>خوي</t>
  </si>
  <si>
    <t>مياندوآب</t>
  </si>
  <si>
    <t xml:space="preserve">نقده </t>
  </si>
  <si>
    <t>اسلام آباد پائيزه</t>
  </si>
  <si>
    <t xml:space="preserve">بيستون بهاره </t>
  </si>
  <si>
    <t xml:space="preserve">بيستون پائيزه </t>
  </si>
  <si>
    <t xml:space="preserve">لرستان </t>
  </si>
  <si>
    <t>اقليد</t>
  </si>
  <si>
    <t xml:space="preserve">پارس </t>
  </si>
  <si>
    <t xml:space="preserve">فسا </t>
  </si>
  <si>
    <t>دزفول</t>
  </si>
  <si>
    <t>مغان</t>
  </si>
  <si>
    <t>اسلام آباد بهاره</t>
  </si>
  <si>
    <t>نيشكر كارون</t>
  </si>
  <si>
    <t>نيشكر امام خميني</t>
  </si>
  <si>
    <t>نيشكر اميركبير</t>
  </si>
  <si>
    <t>نيشكر دعبل خزائي</t>
  </si>
  <si>
    <t>نيشكر فارابي</t>
  </si>
  <si>
    <t>نیشکر ميرزا كوچك خان</t>
  </si>
  <si>
    <t>نیشکر سلمان فارسي</t>
  </si>
  <si>
    <t>نیشکر دهخدا</t>
  </si>
  <si>
    <t>جمع كلّ كارخانه‌هاي نيشكري</t>
  </si>
  <si>
    <t>جمع كلّ موادّ اوّليه و محصول توليدي كارخانه‌هاي چغندري و نيشكري</t>
  </si>
  <si>
    <t>ظرفيت اسمي</t>
  </si>
  <si>
    <t xml:space="preserve">سطح كشت </t>
  </si>
  <si>
    <t>(هكتار)</t>
  </si>
  <si>
    <t>راندمان</t>
  </si>
  <si>
    <t>(تن / هكتار)</t>
  </si>
  <si>
    <t>(تن)</t>
  </si>
  <si>
    <t>استان به استان</t>
  </si>
  <si>
    <t>افت سيلو</t>
  </si>
  <si>
    <t>(درصد)</t>
  </si>
  <si>
    <t>مدّت كاركرد</t>
  </si>
  <si>
    <t xml:space="preserve">خاتمه </t>
  </si>
  <si>
    <t xml:space="preserve">شروع </t>
  </si>
  <si>
    <t>(روز)</t>
  </si>
  <si>
    <t xml:space="preserve">تفاوت </t>
  </si>
  <si>
    <t>آزمايشگاه</t>
  </si>
  <si>
    <t>عيار</t>
  </si>
  <si>
    <t xml:space="preserve">جمع </t>
  </si>
  <si>
    <t>آفينه</t>
  </si>
  <si>
    <t>قند</t>
  </si>
  <si>
    <t>شكر</t>
  </si>
  <si>
    <t>استحصال</t>
  </si>
  <si>
    <t>راندمان تجارتي</t>
  </si>
  <si>
    <t>راندمان صنعتي</t>
  </si>
  <si>
    <t>ملاس</t>
  </si>
  <si>
    <t xml:space="preserve">نامعلوم </t>
  </si>
  <si>
    <t>گل صافي</t>
  </si>
  <si>
    <t>ديفوزيون(تفاله)</t>
  </si>
  <si>
    <t>باگاس</t>
  </si>
  <si>
    <t>رديف</t>
  </si>
  <si>
    <t>درتفاله خشك كني</t>
  </si>
  <si>
    <t>در قندگيري</t>
  </si>
  <si>
    <t>نسبت ملاس توليدي به چغندر مصرفي</t>
  </si>
  <si>
    <t>توليدي</t>
  </si>
  <si>
    <t>تفاله تر/باگاس</t>
  </si>
  <si>
    <t>تفاله خشك</t>
  </si>
  <si>
    <t xml:space="preserve">خريد به كلّ </t>
  </si>
  <si>
    <t>خريد به ظرفيت</t>
  </si>
  <si>
    <t>ظرفيت نصب شده</t>
  </si>
  <si>
    <t xml:space="preserve"> فعّال</t>
  </si>
  <si>
    <t>شربت غليظ</t>
  </si>
  <si>
    <t xml:space="preserve">شربت خام </t>
  </si>
  <si>
    <t>كك به آهك</t>
  </si>
  <si>
    <t xml:space="preserve">گاز - مازوت </t>
  </si>
  <si>
    <t>سنگ آهك</t>
  </si>
  <si>
    <t xml:space="preserve">تربت جام    </t>
  </si>
  <si>
    <t>جوین پائیزه</t>
  </si>
  <si>
    <t>قزوین پائیزه</t>
  </si>
  <si>
    <t>همدان پائیزه</t>
  </si>
  <si>
    <t>چهارمحال پائیزه</t>
  </si>
  <si>
    <t>اصفهان بهاره</t>
  </si>
  <si>
    <t>اصفهان پائيزه</t>
  </si>
  <si>
    <t>نقش جهان بهاره</t>
  </si>
  <si>
    <t xml:space="preserve">نقش جهان پائيزه </t>
  </si>
  <si>
    <t>چهارمحال بهاره</t>
  </si>
  <si>
    <t>جمع کلّ کارخانه های چغندری</t>
  </si>
  <si>
    <t xml:space="preserve">مرودشت </t>
  </si>
  <si>
    <t>قند درهكتار</t>
  </si>
  <si>
    <t>96/06/26</t>
  </si>
  <si>
    <t>96/11/16</t>
  </si>
  <si>
    <t>96/10/15</t>
  </si>
  <si>
    <t>96/10/12</t>
  </si>
  <si>
    <t>96/11/10</t>
  </si>
  <si>
    <t>96/10/23</t>
  </si>
  <si>
    <t>96/04/14</t>
  </si>
  <si>
    <t>96/04/30</t>
  </si>
  <si>
    <t>96/07/05</t>
  </si>
  <si>
    <t>96/07/11</t>
  </si>
  <si>
    <t>96/06/12</t>
  </si>
  <si>
    <t>96/07/06</t>
  </si>
  <si>
    <t>96/11/06</t>
  </si>
  <si>
    <t>96/07/01</t>
  </si>
  <si>
    <t>96/08/02</t>
  </si>
  <si>
    <t>96/10/22</t>
  </si>
  <si>
    <t>96/07/22</t>
  </si>
  <si>
    <t>96/11/13</t>
  </si>
  <si>
    <t>96/06/16</t>
  </si>
  <si>
    <t>96/10/03</t>
  </si>
  <si>
    <t>96/02/19</t>
  </si>
  <si>
    <t>96/04/16</t>
  </si>
  <si>
    <t>96/02/28</t>
  </si>
  <si>
    <t>96/04/10</t>
  </si>
  <si>
    <t>96/02/05</t>
  </si>
  <si>
    <t>96/04/12</t>
  </si>
  <si>
    <t>(تن در شبانه روز)</t>
  </si>
  <si>
    <t>96/02/07</t>
  </si>
  <si>
    <t>96/04/07</t>
  </si>
  <si>
    <t>96/02/02</t>
  </si>
  <si>
    <t>96/02/04</t>
  </si>
  <si>
    <t>96/04/08</t>
  </si>
  <si>
    <t>چغندر/نیشکر توليدي</t>
  </si>
  <si>
    <t>چغندر/نیشکر انتقالی</t>
  </si>
  <si>
    <t>جمع کلّ چغندر/نیشکر خريداري</t>
  </si>
  <si>
    <t>96/07/12</t>
  </si>
  <si>
    <t>سایر</t>
  </si>
  <si>
    <t>96/06/25</t>
  </si>
  <si>
    <t>96/11/24</t>
  </si>
  <si>
    <t>96/06/28</t>
  </si>
  <si>
    <t>96/12/03</t>
  </si>
  <si>
    <t>96/11/14</t>
  </si>
  <si>
    <t>96/06/14</t>
  </si>
  <si>
    <t>96/06/15</t>
  </si>
  <si>
    <t>96/11/21</t>
  </si>
  <si>
    <t>96/06/08</t>
  </si>
  <si>
    <t>96/11/05</t>
  </si>
  <si>
    <t>میانگین مصرف شبانه‌روز</t>
  </si>
  <si>
    <t>چغندر/نیشکر مصرفي</t>
  </si>
  <si>
    <t>96/07/14</t>
  </si>
  <si>
    <t>96/06/13</t>
  </si>
  <si>
    <t>96/11/11</t>
  </si>
  <si>
    <t>96/10/20</t>
  </si>
  <si>
    <t>96/10/28</t>
  </si>
  <si>
    <t>96/10/13</t>
  </si>
  <si>
    <t>96/06/17</t>
  </si>
  <si>
    <t>96/11/04</t>
  </si>
  <si>
    <t>96/11/18</t>
  </si>
  <si>
    <t>96/06/11</t>
  </si>
  <si>
    <t>96/11/09</t>
  </si>
  <si>
    <t>96/07/16</t>
  </si>
  <si>
    <t>96/11/20</t>
  </si>
  <si>
    <t>96/10/21</t>
  </si>
  <si>
    <t>96/08/04</t>
  </si>
  <si>
    <t>96/08/07</t>
  </si>
  <si>
    <t>96/08/09</t>
  </si>
  <si>
    <t>96/12/19</t>
  </si>
  <si>
    <t>96/08/01</t>
  </si>
  <si>
    <t>96/08/05</t>
  </si>
  <si>
    <t>96/11/28</t>
  </si>
  <si>
    <t>جوين بهاره</t>
  </si>
  <si>
    <t>قزوين بهاره</t>
  </si>
  <si>
    <t>همدان بهاره</t>
  </si>
  <si>
    <t>96/07/23</t>
  </si>
  <si>
    <t>97/02/08</t>
  </si>
  <si>
    <t>96/10/24</t>
  </si>
  <si>
    <t>96/08/15</t>
  </si>
  <si>
    <t>®</t>
  </si>
  <si>
    <r>
      <t>نيشكر هفت تپّه</t>
    </r>
    <r>
      <rPr>
        <b/>
        <sz val="20"/>
        <color indexed="10"/>
        <rFont val="Wingdings"/>
        <family val="0"/>
      </rPr>
      <t>®</t>
    </r>
  </si>
  <si>
    <t>97/03/20</t>
  </si>
  <si>
    <t>96/12/26</t>
  </si>
  <si>
    <t>97/01/03</t>
  </si>
  <si>
    <t xml:space="preserve">  توضیح اینکه بهره‌برداری کشت و صنعت هفت‌تپّه به دلیل بارندگیهای مکرّر در استان با حدود دو ماه توقّف در تاریخ 97/03/20 پایان یافته و لذا مدّت توقّف از روزهای کارکرد کسر گردیده است.</t>
  </si>
  <si>
    <t>97/01/20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</si>
</sst>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Roya"/>
      <family val="0"/>
    </font>
    <font>
      <sz val="12"/>
      <color indexed="8"/>
      <name val="Roya"/>
      <family val="0"/>
    </font>
    <font>
      <b/>
      <sz val="12"/>
      <color indexed="8"/>
      <name val="Roya"/>
      <family val="0"/>
    </font>
    <font>
      <b/>
      <sz val="11"/>
      <color indexed="8"/>
      <name val="Roya"/>
      <family val="0"/>
    </font>
    <font>
      <b/>
      <sz val="20"/>
      <color indexed="8"/>
      <name val="B Nazanin"/>
      <family val="0"/>
    </font>
    <font>
      <b/>
      <sz val="20"/>
      <color indexed="10"/>
      <name val="Wingdings"/>
      <family val="0"/>
    </font>
    <font>
      <b/>
      <sz val="20"/>
      <name val="B Mitr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10"/>
      <name val="B Mitra"/>
      <family val="0"/>
    </font>
    <font>
      <b/>
      <sz val="11"/>
      <color indexed="10"/>
      <name val="Calibri"/>
      <family val="2"/>
    </font>
    <font>
      <sz val="18"/>
      <color indexed="8"/>
      <name val="B Nazanin"/>
      <family val="0"/>
    </font>
    <font>
      <sz val="12"/>
      <color indexed="8"/>
      <name val="B Nazanin"/>
      <family val="0"/>
    </font>
    <font>
      <b/>
      <sz val="16"/>
      <color indexed="10"/>
      <name val="Roya"/>
      <family val="0"/>
    </font>
    <font>
      <b/>
      <sz val="14"/>
      <color indexed="10"/>
      <name val="Roya"/>
      <family val="0"/>
    </font>
    <font>
      <b/>
      <sz val="16"/>
      <color indexed="8"/>
      <name val="B Mitra"/>
      <family val="0"/>
    </font>
    <font>
      <b/>
      <sz val="11"/>
      <color indexed="8"/>
      <name val="B Mitra"/>
      <family val="0"/>
    </font>
    <font>
      <b/>
      <sz val="18"/>
      <color indexed="8"/>
      <name val="B Mitra"/>
      <family val="0"/>
    </font>
    <font>
      <b/>
      <sz val="22"/>
      <color indexed="10"/>
      <name val="B Mitra"/>
      <family val="0"/>
    </font>
    <font>
      <b/>
      <sz val="12"/>
      <color indexed="10"/>
      <name val="Roya"/>
      <family val="0"/>
    </font>
    <font>
      <b/>
      <sz val="16"/>
      <color indexed="10"/>
      <name val="Wingdings"/>
      <family val="0"/>
    </font>
    <font>
      <b/>
      <sz val="48"/>
      <color indexed="10"/>
      <name val="IranNastaliq"/>
      <family val="1"/>
    </font>
    <font>
      <b/>
      <sz val="48"/>
      <color indexed="10"/>
      <name val="Calibri"/>
      <family val="2"/>
    </font>
    <font>
      <b/>
      <sz val="36"/>
      <color indexed="8"/>
      <name val="IranNastaliq"/>
      <family val="1"/>
    </font>
    <font>
      <b/>
      <sz val="20"/>
      <color indexed="8"/>
      <name val="B Mitra"/>
      <family val="0"/>
    </font>
    <font>
      <b/>
      <sz val="20"/>
      <color indexed="10"/>
      <name val="B Mitra"/>
      <family val="0"/>
    </font>
    <font>
      <b/>
      <sz val="24"/>
      <color indexed="10"/>
      <name val="B Mitra"/>
      <family val="0"/>
    </font>
    <font>
      <b/>
      <sz val="26"/>
      <color indexed="10"/>
      <name val="B Nazanin"/>
      <family val="0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b/>
      <sz val="72"/>
      <color indexed="10"/>
      <name val="B Mitra"/>
      <family val="0"/>
    </font>
    <font>
      <b/>
      <sz val="26"/>
      <color indexed="10"/>
      <name val="Calibri"/>
      <family val="2"/>
    </font>
    <font>
      <b/>
      <sz val="16"/>
      <color indexed="10"/>
      <name val="B Mitra"/>
      <family val="0"/>
    </font>
    <font>
      <b/>
      <sz val="32"/>
      <color indexed="10"/>
      <name val="IranNastaliq"/>
      <family val="1"/>
    </font>
    <font>
      <b/>
      <sz val="48"/>
      <color indexed="8"/>
      <name val="IranNastaliq"/>
      <family val="1"/>
    </font>
    <font>
      <b/>
      <sz val="22"/>
      <color indexed="8"/>
      <name val="B Nazanin"/>
      <family val="0"/>
    </font>
    <font>
      <b/>
      <sz val="18"/>
      <color indexed="10"/>
      <name val="B Nazanin"/>
      <family val="0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rgb="FFFF0000"/>
      <name val="B Mitra"/>
      <family val="0"/>
    </font>
    <font>
      <b/>
      <sz val="11"/>
      <color rgb="FFFF0000"/>
      <name val="Calibri"/>
      <family val="2"/>
    </font>
    <font>
      <sz val="18"/>
      <color theme="1"/>
      <name val="B Nazanin"/>
      <family val="0"/>
    </font>
    <font>
      <sz val="12"/>
      <color theme="1"/>
      <name val="B Nazanin"/>
      <family val="0"/>
    </font>
    <font>
      <b/>
      <sz val="16"/>
      <color rgb="FFFF0000"/>
      <name val="Roya"/>
      <family val="0"/>
    </font>
    <font>
      <b/>
      <sz val="14"/>
      <color rgb="FFFF0000"/>
      <name val="Roya"/>
      <family val="0"/>
    </font>
    <font>
      <b/>
      <sz val="16"/>
      <color theme="1"/>
      <name val="B Mitra"/>
      <family val="0"/>
    </font>
    <font>
      <b/>
      <sz val="11"/>
      <color theme="1"/>
      <name val="B Mitra"/>
      <family val="0"/>
    </font>
    <font>
      <b/>
      <sz val="18"/>
      <color theme="1"/>
      <name val="B Mitra"/>
      <family val="0"/>
    </font>
    <font>
      <b/>
      <sz val="22"/>
      <color rgb="FFFF0000"/>
      <name val="B Mitra"/>
      <family val="0"/>
    </font>
    <font>
      <b/>
      <sz val="12"/>
      <color rgb="FFFF0000"/>
      <name val="Roya"/>
      <family val="0"/>
    </font>
    <font>
      <b/>
      <sz val="16"/>
      <color rgb="FFFF0000"/>
      <name val="Wingdings"/>
      <family val="0"/>
    </font>
    <font>
      <b/>
      <sz val="48"/>
      <color rgb="FFFF0000"/>
      <name val="IranNastaliq"/>
      <family val="1"/>
    </font>
    <font>
      <b/>
      <sz val="48"/>
      <color rgb="FFFF0000"/>
      <name val="Calibri"/>
      <family val="2"/>
    </font>
    <font>
      <b/>
      <sz val="36"/>
      <color theme="1"/>
      <name val="IranNastaliq"/>
      <family val="1"/>
    </font>
    <font>
      <b/>
      <sz val="20"/>
      <color theme="1"/>
      <name val="B Mitra"/>
      <family val="0"/>
    </font>
    <font>
      <b/>
      <sz val="20"/>
      <color theme="1"/>
      <name val="B Nazanin"/>
      <family val="0"/>
    </font>
    <font>
      <b/>
      <sz val="20"/>
      <color rgb="FFFF0000"/>
      <name val="B Mitra"/>
      <family val="0"/>
    </font>
    <font>
      <b/>
      <sz val="24"/>
      <color rgb="FFFF0000"/>
      <name val="B Mitra"/>
      <family val="0"/>
    </font>
    <font>
      <b/>
      <sz val="16"/>
      <color rgb="FFFF0000"/>
      <name val="B Mitra"/>
      <family val="0"/>
    </font>
    <font>
      <sz val="14"/>
      <color theme="1"/>
      <name val="Calibri"/>
      <family val="2"/>
    </font>
    <font>
      <b/>
      <sz val="32"/>
      <color rgb="FFFF0000"/>
      <name val="IranNastaliq"/>
      <family val="1"/>
    </font>
    <font>
      <b/>
      <sz val="48"/>
      <color theme="1"/>
      <name val="IranNastaliq"/>
      <family val="1"/>
    </font>
    <font>
      <b/>
      <sz val="22"/>
      <color theme="1"/>
      <name val="B Nazanin"/>
      <family val="0"/>
    </font>
    <font>
      <b/>
      <sz val="18"/>
      <color rgb="FFFF0000"/>
      <name val="B Nazanin"/>
      <family val="0"/>
    </font>
    <font>
      <sz val="18"/>
      <color theme="1"/>
      <name val="Calibri"/>
      <family val="2"/>
    </font>
    <font>
      <b/>
      <sz val="72"/>
      <color rgb="FFFF0000"/>
      <name val="B Mitra"/>
      <family val="0"/>
    </font>
    <font>
      <b/>
      <sz val="26"/>
      <color rgb="FFFF0000"/>
      <name val="B Nazanin"/>
      <family val="0"/>
    </font>
    <font>
      <b/>
      <sz val="26"/>
      <color rgb="FFFF0000"/>
      <name val="Calibri"/>
      <family val="2"/>
    </font>
    <font>
      <sz val="26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DE9F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E9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BFFFF"/>
        <bgColor indexed="64"/>
      </patternFill>
    </fill>
    <fill>
      <patternFill patternType="solid">
        <fgColor rgb="FFDDD9C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/>
      <top style="thick"/>
      <bottom style="medium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/>
      <top style="medium"/>
      <bottom style="thick"/>
    </border>
    <border>
      <left/>
      <right style="thick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justify"/>
    </xf>
    <xf numFmtId="0" fontId="0" fillId="0" borderId="0" xfId="0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justify"/>
    </xf>
    <xf numFmtId="0" fontId="73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justify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justify"/>
    </xf>
    <xf numFmtId="3" fontId="2" fillId="34" borderId="12" xfId="0" applyNumberFormat="1" applyFont="1" applyFill="1" applyBorder="1" applyAlignment="1">
      <alignment horizontal="center" vertical="justify"/>
    </xf>
    <xf numFmtId="0" fontId="74" fillId="34" borderId="12" xfId="0" applyFont="1" applyFill="1" applyBorder="1" applyAlignment="1">
      <alignment horizontal="center" vertical="justify"/>
    </xf>
    <xf numFmtId="0" fontId="75" fillId="34" borderId="12" xfId="0" applyFont="1" applyFill="1" applyBorder="1" applyAlignment="1">
      <alignment horizontal="center" vertical="justify"/>
    </xf>
    <xf numFmtId="0" fontId="2" fillId="34" borderId="12" xfId="0" applyFont="1" applyFill="1" applyBorder="1" applyAlignment="1">
      <alignment horizontal="center" vertical="justify"/>
    </xf>
    <xf numFmtId="49" fontId="4" fillId="34" borderId="16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justify"/>
    </xf>
    <xf numFmtId="0" fontId="2" fillId="35" borderId="12" xfId="0" applyNumberFormat="1" applyFont="1" applyFill="1" applyBorder="1" applyAlignment="1">
      <alignment horizontal="center" vertical="justify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justify"/>
    </xf>
    <xf numFmtId="0" fontId="5" fillId="36" borderId="12" xfId="0" applyFont="1" applyFill="1" applyBorder="1" applyAlignment="1">
      <alignment horizontal="center" vertical="justify"/>
    </xf>
    <xf numFmtId="0" fontId="4" fillId="36" borderId="16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justify"/>
    </xf>
    <xf numFmtId="0" fontId="2" fillId="37" borderId="12" xfId="0" applyFont="1" applyFill="1" applyBorder="1" applyAlignment="1">
      <alignment horizontal="center" vertical="justify"/>
    </xf>
    <xf numFmtId="0" fontId="4" fillId="37" borderId="16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justify"/>
    </xf>
    <xf numFmtId="0" fontId="4" fillId="38" borderId="12" xfId="0" applyFont="1" applyFill="1" applyBorder="1" applyAlignment="1">
      <alignment horizontal="center" vertical="justify"/>
    </xf>
    <xf numFmtId="0" fontId="4" fillId="38" borderId="16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justify" wrapText="1"/>
    </xf>
    <xf numFmtId="0" fontId="2" fillId="39" borderId="12" xfId="0" applyFont="1" applyFill="1" applyBorder="1" applyAlignment="1">
      <alignment horizontal="center" vertical="justify"/>
    </xf>
    <xf numFmtId="0" fontId="4" fillId="39" borderId="16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1" fontId="2" fillId="32" borderId="12" xfId="0" applyNumberFormat="1" applyFont="1" applyFill="1" applyBorder="1" applyAlignment="1">
      <alignment horizontal="center" vertical="justify"/>
    </xf>
    <xf numFmtId="0" fontId="2" fillId="32" borderId="12" xfId="0" applyFont="1" applyFill="1" applyBorder="1" applyAlignment="1">
      <alignment horizontal="center" vertical="justify"/>
    </xf>
    <xf numFmtId="1" fontId="4" fillId="32" borderId="16" xfId="0" applyNumberFormat="1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 shrinkToFit="1"/>
    </xf>
    <xf numFmtId="0" fontId="76" fillId="0" borderId="18" xfId="0" applyFont="1" applyFill="1" applyBorder="1" applyAlignment="1">
      <alignment horizontal="center" vertical="center"/>
    </xf>
    <xf numFmtId="2" fontId="76" fillId="0" borderId="18" xfId="0" applyNumberFormat="1" applyFont="1" applyFill="1" applyBorder="1" applyAlignment="1">
      <alignment horizontal="center" vertical="center"/>
    </xf>
    <xf numFmtId="3" fontId="77" fillId="0" borderId="18" xfId="0" applyNumberFormat="1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2" fontId="76" fillId="0" borderId="19" xfId="0" applyNumberFormat="1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78" fillId="7" borderId="21" xfId="0" applyFont="1" applyFill="1" applyBorder="1" applyAlignment="1">
      <alignment horizontal="center" vertical="center"/>
    </xf>
    <xf numFmtId="0" fontId="78" fillId="7" borderId="22" xfId="0" applyFont="1" applyFill="1" applyBorder="1" applyAlignment="1">
      <alignment horizontal="center" vertical="center"/>
    </xf>
    <xf numFmtId="2" fontId="78" fillId="7" borderId="21" xfId="0" applyNumberFormat="1" applyFont="1" applyFill="1" applyBorder="1" applyAlignment="1">
      <alignment horizontal="center" vertical="center"/>
    </xf>
    <xf numFmtId="3" fontId="79" fillId="7" borderId="21" xfId="0" applyNumberFormat="1" applyFont="1" applyFill="1" applyBorder="1" applyAlignment="1">
      <alignment horizontal="center" vertical="center"/>
    </xf>
    <xf numFmtId="3" fontId="79" fillId="0" borderId="18" xfId="0" applyNumberFormat="1" applyFont="1" applyFill="1" applyBorder="1" applyAlignment="1">
      <alignment horizontal="center" vertical="center"/>
    </xf>
    <xf numFmtId="3" fontId="79" fillId="0" borderId="19" xfId="0" applyNumberFormat="1" applyFont="1" applyFill="1" applyBorder="1" applyAlignment="1">
      <alignment horizontal="center" vertical="center"/>
    </xf>
    <xf numFmtId="0" fontId="74" fillId="37" borderId="12" xfId="0" applyFont="1" applyFill="1" applyBorder="1" applyAlignment="1">
      <alignment horizontal="center" vertical="justify"/>
    </xf>
    <xf numFmtId="0" fontId="80" fillId="37" borderId="16" xfId="0" applyFont="1" applyFill="1" applyBorder="1" applyAlignment="1">
      <alignment horizontal="center" vertical="center"/>
    </xf>
    <xf numFmtId="0" fontId="81" fillId="0" borderId="23" xfId="0" applyFont="1" applyBorder="1" applyAlignment="1">
      <alignment vertical="center"/>
    </xf>
    <xf numFmtId="0" fontId="76" fillId="35" borderId="18" xfId="0" applyFont="1" applyFill="1" applyBorder="1" applyAlignment="1">
      <alignment horizontal="center" vertical="center"/>
    </xf>
    <xf numFmtId="3" fontId="78" fillId="34" borderId="18" xfId="0" applyNumberFormat="1" applyFont="1" applyFill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3" fillId="38" borderId="19" xfId="0" applyFont="1" applyFill="1" applyBorder="1" applyAlignment="1">
      <alignment horizontal="center" vertical="center"/>
    </xf>
    <xf numFmtId="0" fontId="82" fillId="37" borderId="19" xfId="0" applyFont="1" applyFill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6" fillId="41" borderId="18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0" fontId="6" fillId="42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6" fillId="34" borderId="18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43" borderId="18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44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45" borderId="18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0" fontId="6" fillId="46" borderId="12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38" borderId="18" xfId="0" applyFont="1" applyFill="1" applyBorder="1" applyAlignment="1">
      <alignment horizontal="center" vertical="center"/>
    </xf>
    <xf numFmtId="0" fontId="78" fillId="35" borderId="18" xfId="0" applyFont="1" applyFill="1" applyBorder="1" applyAlignment="1">
      <alignment horizontal="center" vertical="center"/>
    </xf>
    <xf numFmtId="2" fontId="78" fillId="40" borderId="18" xfId="0" applyNumberFormat="1" applyFont="1" applyFill="1" applyBorder="1" applyAlignment="1">
      <alignment horizontal="center" vertical="center"/>
    </xf>
    <xf numFmtId="3" fontId="78" fillId="32" borderId="18" xfId="0" applyNumberFormat="1" applyFont="1" applyFill="1" applyBorder="1" applyAlignment="1">
      <alignment horizontal="center" vertical="center"/>
    </xf>
    <xf numFmtId="0" fontId="78" fillId="39" borderId="18" xfId="0" applyFont="1" applyFill="1" applyBorder="1" applyAlignment="1">
      <alignment horizontal="center" vertical="center"/>
    </xf>
    <xf numFmtId="2" fontId="78" fillId="39" borderId="18" xfId="0" applyNumberFormat="1" applyFont="1" applyFill="1" applyBorder="1" applyAlignment="1">
      <alignment horizontal="center" vertical="center"/>
    </xf>
    <xf numFmtId="3" fontId="78" fillId="39" borderId="18" xfId="0" applyNumberFormat="1" applyFont="1" applyFill="1" applyBorder="1" applyAlignment="1">
      <alignment horizontal="center" vertical="center"/>
    </xf>
    <xf numFmtId="172" fontId="78" fillId="38" borderId="18" xfId="0" applyNumberFormat="1" applyFont="1" applyFill="1" applyBorder="1" applyAlignment="1">
      <alignment horizontal="center" vertical="center"/>
    </xf>
    <xf numFmtId="2" fontId="78" fillId="37" borderId="18" xfId="0" applyNumberFormat="1" applyFont="1" applyFill="1" applyBorder="1" applyAlignment="1">
      <alignment horizontal="center" vertical="center"/>
    </xf>
    <xf numFmtId="3" fontId="78" fillId="0" borderId="18" xfId="0" applyNumberFormat="1" applyFont="1" applyBorder="1" applyAlignment="1">
      <alignment horizontal="center" vertical="center"/>
    </xf>
    <xf numFmtId="0" fontId="78" fillId="36" borderId="18" xfId="0" applyFont="1" applyFill="1" applyBorder="1" applyAlignment="1">
      <alignment horizontal="center" vertical="center"/>
    </xf>
    <xf numFmtId="2" fontId="78" fillId="34" borderId="18" xfId="0" applyNumberFormat="1" applyFont="1" applyFill="1" applyBorder="1" applyAlignment="1">
      <alignment horizontal="center" vertical="center"/>
    </xf>
    <xf numFmtId="4" fontId="78" fillId="34" borderId="18" xfId="0" applyNumberFormat="1" applyFont="1" applyFill="1" applyBorder="1" applyAlignment="1">
      <alignment horizontal="center" vertical="center"/>
    </xf>
    <xf numFmtId="2" fontId="78" fillId="35" borderId="18" xfId="0" applyNumberFormat="1" applyFont="1" applyFill="1" applyBorder="1" applyAlignment="1">
      <alignment horizontal="center" vertical="center"/>
    </xf>
    <xf numFmtId="2" fontId="78" fillId="36" borderId="18" xfId="0" applyNumberFormat="1" applyFont="1" applyFill="1" applyBorder="1" applyAlignment="1">
      <alignment horizontal="center" vertical="center"/>
    </xf>
    <xf numFmtId="0" fontId="76" fillId="35" borderId="12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38" borderId="12" xfId="0" applyFont="1" applyFill="1" applyBorder="1" applyAlignment="1">
      <alignment horizontal="center" vertical="center"/>
    </xf>
    <xf numFmtId="0" fontId="78" fillId="35" borderId="12" xfId="0" applyFont="1" applyFill="1" applyBorder="1" applyAlignment="1">
      <alignment horizontal="center" vertical="center"/>
    </xf>
    <xf numFmtId="2" fontId="78" fillId="40" borderId="12" xfId="0" applyNumberFormat="1" applyFont="1" applyFill="1" applyBorder="1" applyAlignment="1">
      <alignment horizontal="center" vertical="center"/>
    </xf>
    <xf numFmtId="3" fontId="78" fillId="32" borderId="12" xfId="0" applyNumberFormat="1" applyFont="1" applyFill="1" applyBorder="1" applyAlignment="1">
      <alignment horizontal="center" vertical="center"/>
    </xf>
    <xf numFmtId="0" fontId="78" fillId="39" borderId="12" xfId="0" applyFont="1" applyFill="1" applyBorder="1" applyAlignment="1">
      <alignment horizontal="center" vertical="center"/>
    </xf>
    <xf numFmtId="3" fontId="78" fillId="39" borderId="12" xfId="0" applyNumberFormat="1" applyFont="1" applyFill="1" applyBorder="1" applyAlignment="1">
      <alignment horizontal="center" vertical="center"/>
    </xf>
    <xf numFmtId="172" fontId="78" fillId="38" borderId="12" xfId="0" applyNumberFormat="1" applyFont="1" applyFill="1" applyBorder="1" applyAlignment="1">
      <alignment horizontal="center" vertical="center"/>
    </xf>
    <xf numFmtId="2" fontId="78" fillId="37" borderId="12" xfId="0" applyNumberFormat="1" applyFont="1" applyFill="1" applyBorder="1" applyAlignment="1">
      <alignment horizontal="center" vertical="center"/>
    </xf>
    <xf numFmtId="3" fontId="78" fillId="0" borderId="12" xfId="0" applyNumberFormat="1" applyFont="1" applyBorder="1" applyAlignment="1">
      <alignment horizontal="center" vertical="center"/>
    </xf>
    <xf numFmtId="0" fontId="78" fillId="36" borderId="12" xfId="0" applyFont="1" applyFill="1" applyBorder="1" applyAlignment="1">
      <alignment horizontal="center" vertical="center"/>
    </xf>
    <xf numFmtId="3" fontId="78" fillId="34" borderId="12" xfId="0" applyNumberFormat="1" applyFont="1" applyFill="1" applyBorder="1" applyAlignment="1">
      <alignment horizontal="center" vertical="center"/>
    </xf>
    <xf numFmtId="2" fontId="78" fillId="34" borderId="12" xfId="0" applyNumberFormat="1" applyFont="1" applyFill="1" applyBorder="1" applyAlignment="1">
      <alignment horizontal="center" vertical="center"/>
    </xf>
    <xf numFmtId="3" fontId="78" fillId="34" borderId="21" xfId="0" applyNumberFormat="1" applyFont="1" applyFill="1" applyBorder="1" applyAlignment="1">
      <alignment horizontal="center" vertical="center"/>
    </xf>
    <xf numFmtId="4" fontId="78" fillId="34" borderId="12" xfId="0" applyNumberFormat="1" applyFont="1" applyFill="1" applyBorder="1" applyAlignment="1">
      <alignment horizontal="center" vertical="center"/>
    </xf>
    <xf numFmtId="3" fontId="78" fillId="0" borderId="21" xfId="0" applyNumberFormat="1" applyFont="1" applyBorder="1" applyAlignment="1">
      <alignment horizontal="center" vertical="center"/>
    </xf>
    <xf numFmtId="3" fontId="85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2" fontId="85" fillId="0" borderId="18" xfId="0" applyNumberFormat="1" applyFont="1" applyFill="1" applyBorder="1" applyAlignment="1">
      <alignment horizontal="center" vertical="center"/>
    </xf>
    <xf numFmtId="0" fontId="85" fillId="0" borderId="18" xfId="0" applyFont="1" applyFill="1" applyBorder="1" applyAlignment="1">
      <alignment horizontal="center" vertical="center"/>
    </xf>
    <xf numFmtId="0" fontId="85" fillId="0" borderId="27" xfId="0" applyFont="1" applyFill="1" applyBorder="1" applyAlignment="1">
      <alignment horizontal="center" vertical="center"/>
    </xf>
    <xf numFmtId="172" fontId="85" fillId="0" borderId="18" xfId="0" applyNumberFormat="1" applyFont="1" applyFill="1" applyBorder="1" applyAlignment="1">
      <alignment horizontal="center" vertical="center"/>
    </xf>
    <xf numFmtId="172" fontId="85" fillId="38" borderId="18" xfId="0" applyNumberFormat="1" applyFont="1" applyFill="1" applyBorder="1" applyAlignment="1">
      <alignment horizontal="center" vertical="center"/>
    </xf>
    <xf numFmtId="2" fontId="87" fillId="0" borderId="18" xfId="0" applyNumberFormat="1" applyFont="1" applyFill="1" applyBorder="1" applyAlignment="1">
      <alignment horizontal="center" vertical="center"/>
    </xf>
    <xf numFmtId="3" fontId="85" fillId="0" borderId="28" xfId="0" applyNumberFormat="1" applyFont="1" applyFill="1" applyBorder="1" applyAlignment="1">
      <alignment horizontal="center" vertical="center"/>
    </xf>
    <xf numFmtId="3" fontId="85" fillId="0" borderId="16" xfId="0" applyNumberFormat="1" applyFont="1" applyFill="1" applyBorder="1" applyAlignment="1">
      <alignment horizontal="center" vertical="center"/>
    </xf>
    <xf numFmtId="4" fontId="85" fillId="0" borderId="19" xfId="0" applyNumberFormat="1" applyFont="1" applyFill="1" applyBorder="1" applyAlignment="1">
      <alignment horizontal="center" vertical="center"/>
    </xf>
    <xf numFmtId="3" fontId="85" fillId="0" borderId="17" xfId="0" applyNumberFormat="1" applyFont="1" applyFill="1" applyBorder="1" applyAlignment="1">
      <alignment horizontal="center" vertical="center"/>
    </xf>
    <xf numFmtId="3" fontId="85" fillId="0" borderId="19" xfId="0" applyNumberFormat="1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horizontal="center" vertical="center"/>
    </xf>
    <xf numFmtId="2" fontId="85" fillId="0" borderId="19" xfId="0" applyNumberFormat="1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172" fontId="85" fillId="0" borderId="19" xfId="0" applyNumberFormat="1" applyFont="1" applyFill="1" applyBorder="1" applyAlignment="1">
      <alignment horizontal="center" vertical="center"/>
    </xf>
    <xf numFmtId="2" fontId="85" fillId="37" borderId="19" xfId="0" applyNumberFormat="1" applyFont="1" applyFill="1" applyBorder="1" applyAlignment="1">
      <alignment horizontal="center" vertical="center"/>
    </xf>
    <xf numFmtId="2" fontId="87" fillId="0" borderId="19" xfId="0" applyNumberFormat="1" applyFont="1" applyFill="1" applyBorder="1" applyAlignment="1">
      <alignment horizontal="center" vertical="center"/>
    </xf>
    <xf numFmtId="3" fontId="85" fillId="7" borderId="21" xfId="0" applyNumberFormat="1" applyFont="1" applyFill="1" applyBorder="1" applyAlignment="1">
      <alignment horizontal="center" vertical="center"/>
    </xf>
    <xf numFmtId="3" fontId="85" fillId="7" borderId="22" xfId="0" applyNumberFormat="1" applyFont="1" applyFill="1" applyBorder="1" applyAlignment="1">
      <alignment horizontal="center" vertical="center"/>
    </xf>
    <xf numFmtId="3" fontId="88" fillId="7" borderId="21" xfId="0" applyNumberFormat="1" applyFont="1" applyFill="1" applyBorder="1" applyAlignment="1">
      <alignment horizontal="center" vertical="center"/>
    </xf>
    <xf numFmtId="0" fontId="85" fillId="7" borderId="30" xfId="0" applyFont="1" applyFill="1" applyBorder="1" applyAlignment="1">
      <alignment horizontal="center" vertical="center"/>
    </xf>
    <xf numFmtId="0" fontId="85" fillId="7" borderId="21" xfId="0" applyFont="1" applyFill="1" applyBorder="1" applyAlignment="1">
      <alignment horizontal="center" vertical="center"/>
    </xf>
    <xf numFmtId="172" fontId="85" fillId="7" borderId="21" xfId="0" applyNumberFormat="1" applyFont="1" applyFill="1" applyBorder="1" applyAlignment="1">
      <alignment horizontal="center" vertical="center"/>
    </xf>
    <xf numFmtId="2" fontId="85" fillId="7" borderId="21" xfId="0" applyNumberFormat="1" applyFont="1" applyFill="1" applyBorder="1" applyAlignment="1">
      <alignment horizontal="center" vertical="center"/>
    </xf>
    <xf numFmtId="0" fontId="76" fillId="7" borderId="21" xfId="0" applyFont="1" applyFill="1" applyBorder="1" applyAlignment="1">
      <alignment horizontal="center" vertical="center"/>
    </xf>
    <xf numFmtId="0" fontId="76" fillId="7" borderId="22" xfId="0" applyFont="1" applyFill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/>
    </xf>
    <xf numFmtId="0" fontId="90" fillId="0" borderId="16" xfId="0" applyFont="1" applyFill="1" applyBorder="1" applyAlignment="1">
      <alignment/>
    </xf>
    <xf numFmtId="0" fontId="91" fillId="38" borderId="19" xfId="0" applyFont="1" applyFill="1" applyBorder="1" applyAlignment="1">
      <alignment horizontal="center" vertical="center"/>
    </xf>
    <xf numFmtId="0" fontId="92" fillId="0" borderId="29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 textRotation="90"/>
    </xf>
    <xf numFmtId="0" fontId="93" fillId="0" borderId="18" xfId="0" applyFont="1" applyBorder="1" applyAlignment="1">
      <alignment horizontal="center" vertical="center"/>
    </xf>
    <xf numFmtId="0" fontId="82" fillId="32" borderId="19" xfId="0" applyFont="1" applyFill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82" fillId="40" borderId="19" xfId="0" applyFont="1" applyFill="1" applyBorder="1" applyAlignment="1">
      <alignment horizontal="center" vertical="center"/>
    </xf>
    <xf numFmtId="0" fontId="94" fillId="7" borderId="32" xfId="0" applyFont="1" applyFill="1" applyBorder="1" applyAlignment="1">
      <alignment horizontal="center" vertical="center"/>
    </xf>
    <xf numFmtId="0" fontId="95" fillId="7" borderId="33" xfId="0" applyFont="1" applyFill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82" fillId="35" borderId="19" xfId="0" applyFont="1" applyFill="1" applyBorder="1" applyAlignment="1">
      <alignment horizontal="center" vertical="center"/>
    </xf>
    <xf numFmtId="0" fontId="97" fillId="0" borderId="34" xfId="0" applyFont="1" applyFill="1" applyBorder="1" applyAlignment="1">
      <alignment horizontal="center" vertical="center"/>
    </xf>
    <xf numFmtId="0" fontId="98" fillId="0" borderId="35" xfId="0" applyFont="1" applyFill="1" applyBorder="1" applyAlignment="1">
      <alignment horizontal="center" vertical="center"/>
    </xf>
    <xf numFmtId="0" fontId="82" fillId="37" borderId="19" xfId="0" applyFont="1" applyFill="1" applyBorder="1" applyAlignment="1">
      <alignment horizontal="center" vertical="center"/>
    </xf>
    <xf numFmtId="0" fontId="82" fillId="36" borderId="19" xfId="0" applyFont="1" applyFill="1" applyBorder="1" applyAlignment="1">
      <alignment horizontal="center" vertical="center"/>
    </xf>
    <xf numFmtId="0" fontId="97" fillId="0" borderId="36" xfId="0" applyFont="1" applyFill="1" applyBorder="1" applyAlignment="1">
      <alignment horizontal="center" vertical="center"/>
    </xf>
    <xf numFmtId="0" fontId="99" fillId="0" borderId="37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justify" wrapText="1"/>
    </xf>
    <xf numFmtId="0" fontId="0" fillId="39" borderId="16" xfId="0" applyFill="1" applyBorder="1" applyAlignment="1">
      <alignment/>
    </xf>
    <xf numFmtId="0" fontId="82" fillId="39" borderId="19" xfId="0" applyFont="1" applyFill="1" applyBorder="1" applyAlignment="1">
      <alignment horizontal="center" vertical="center"/>
    </xf>
    <xf numFmtId="0" fontId="82" fillId="34" borderId="20" xfId="0" applyFont="1" applyFill="1" applyBorder="1" applyAlignment="1">
      <alignment horizontal="center" vertical="center"/>
    </xf>
    <xf numFmtId="0" fontId="82" fillId="34" borderId="38" xfId="0" applyFont="1" applyFill="1" applyBorder="1" applyAlignment="1">
      <alignment horizontal="center" vertical="center"/>
    </xf>
    <xf numFmtId="0" fontId="82" fillId="34" borderId="39" xfId="0" applyFont="1" applyFill="1" applyBorder="1" applyAlignment="1">
      <alignment horizontal="center" vertical="center"/>
    </xf>
    <xf numFmtId="0" fontId="82" fillId="38" borderId="19" xfId="0" applyFont="1" applyFill="1" applyBorder="1" applyAlignment="1">
      <alignment horizontal="center" vertical="center"/>
    </xf>
    <xf numFmtId="0" fontId="83" fillId="38" borderId="19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781050</xdr:colOff>
      <xdr:row>2</xdr:row>
      <xdr:rowOff>85725</xdr:rowOff>
    </xdr:from>
    <xdr:to>
      <xdr:col>15</xdr:col>
      <xdr:colOff>0</xdr:colOff>
      <xdr:row>5</xdr:row>
      <xdr:rowOff>161925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rcRect b="8699"/>
        <a:stretch>
          <a:fillRect/>
        </a:stretch>
      </xdr:blipFill>
      <xdr:spPr>
        <a:xfrm>
          <a:off x="8705850" y="46672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6</xdr:row>
      <xdr:rowOff>85725</xdr:rowOff>
    </xdr:from>
    <xdr:to>
      <xdr:col>15</xdr:col>
      <xdr:colOff>352425</xdr:colOff>
      <xdr:row>9</xdr:row>
      <xdr:rowOff>76200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rcRect l="2418" t="10546" b="58723"/>
        <a:stretch>
          <a:fillRect/>
        </a:stretch>
      </xdr:blipFill>
      <xdr:spPr>
        <a:xfrm>
          <a:off x="8258175" y="1828800"/>
          <a:ext cx="2219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0</xdr:colOff>
      <xdr:row>4</xdr:row>
      <xdr:rowOff>209550</xdr:rowOff>
    </xdr:from>
    <xdr:to>
      <xdr:col>52</xdr:col>
      <xdr:colOff>1171575</xdr:colOff>
      <xdr:row>9</xdr:row>
      <xdr:rowOff>104775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rcRect l="13203" t="19734" b="24288"/>
        <a:stretch>
          <a:fillRect/>
        </a:stretch>
      </xdr:blipFill>
      <xdr:spPr>
        <a:xfrm>
          <a:off x="25603200" y="971550"/>
          <a:ext cx="1001077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5:BV63"/>
  <sheetViews>
    <sheetView tabSelected="1" zoomScale="85" zoomScaleNormal="85" zoomScalePageLayoutView="0" workbookViewId="0" topLeftCell="T6">
      <selection activeCell="AA8" sqref="AA8"/>
    </sheetView>
  </sheetViews>
  <sheetFormatPr defaultColWidth="9.140625" defaultRowHeight="15"/>
  <cols>
    <col min="13" max="13" width="9.140625" style="0" customWidth="1"/>
    <col min="14" max="14" width="25.8515625" style="0" customWidth="1"/>
    <col min="15" max="15" width="7.140625" style="0" customWidth="1"/>
    <col min="16" max="16" width="13.57421875" style="0" customWidth="1"/>
    <col min="17" max="17" width="14.57421875" style="0" customWidth="1"/>
    <col min="18" max="18" width="13.28125" style="0" customWidth="1"/>
    <col min="19" max="19" width="12.421875" style="0" hidden="1" customWidth="1"/>
    <col min="20" max="20" width="13.8515625" style="0" customWidth="1"/>
    <col min="21" max="21" width="13.421875" style="0" hidden="1" customWidth="1"/>
    <col min="22" max="22" width="13.421875" style="0" customWidth="1"/>
    <col min="23" max="23" width="15.421875" style="0" customWidth="1"/>
    <col min="24" max="24" width="15.28125" style="0" customWidth="1"/>
    <col min="25" max="25" width="18.421875" style="0" customWidth="1"/>
    <col min="26" max="26" width="15.57421875" style="0" customWidth="1"/>
    <col min="27" max="27" width="12.7109375" style="0" customWidth="1"/>
    <col min="28" max="28" width="11.00390625" style="0" customWidth="1"/>
    <col min="29" max="29" width="14.00390625" style="0" customWidth="1"/>
    <col min="30" max="30" width="14.421875" style="0" customWidth="1"/>
    <col min="32" max="32" width="11.00390625" style="0" customWidth="1"/>
    <col min="33" max="33" width="8.8515625" style="0" hidden="1" customWidth="1"/>
    <col min="34" max="34" width="13.421875" style="0" customWidth="1"/>
    <col min="35" max="35" width="19.421875" style="0" hidden="1" customWidth="1"/>
    <col min="36" max="36" width="13.00390625" style="0" customWidth="1"/>
    <col min="37" max="37" width="11.7109375" style="0" hidden="1" customWidth="1"/>
    <col min="38" max="38" width="12.7109375" style="0" customWidth="1"/>
    <col min="39" max="39" width="9.421875" style="0" hidden="1" customWidth="1"/>
    <col min="40" max="40" width="12.421875" style="0" customWidth="1"/>
    <col min="41" max="41" width="23.8515625" style="0" hidden="1" customWidth="1"/>
    <col min="42" max="42" width="13.8515625" style="0" customWidth="1"/>
    <col min="43" max="43" width="19.140625" style="0" hidden="1" customWidth="1"/>
    <col min="44" max="44" width="13.57421875" style="0" customWidth="1"/>
    <col min="45" max="45" width="13.28125" style="0" hidden="1" customWidth="1"/>
    <col min="46" max="46" width="13.28125" style="0" customWidth="1"/>
    <col min="47" max="47" width="13.57421875" style="0" customWidth="1"/>
    <col min="48" max="48" width="12.140625" style="0" customWidth="1"/>
    <col min="49" max="49" width="21.00390625" style="0" hidden="1" customWidth="1"/>
    <col min="50" max="50" width="21.140625" style="0" customWidth="1"/>
    <col min="51" max="51" width="10.421875" style="0" bestFit="1" customWidth="1"/>
    <col min="52" max="52" width="9.421875" style="0" bestFit="1" customWidth="1"/>
    <col min="53" max="53" width="18.28125" style="0" customWidth="1"/>
    <col min="54" max="54" width="13.28125" style="0" customWidth="1"/>
    <col min="55" max="55" width="10.28125" style="0" hidden="1" customWidth="1"/>
    <col min="56" max="56" width="12.57421875" style="0" customWidth="1"/>
    <col min="57" max="57" width="12.00390625" style="0" hidden="1" customWidth="1"/>
    <col min="58" max="58" width="13.28125" style="0" customWidth="1"/>
    <col min="59" max="59" width="11.00390625" style="0" customWidth="1"/>
    <col min="60" max="61" width="13.7109375" style="0" customWidth="1"/>
    <col min="62" max="62" width="13.00390625" style="0" customWidth="1"/>
    <col min="63" max="63" width="13.7109375" style="0" customWidth="1"/>
    <col min="64" max="64" width="22.28125" style="0" customWidth="1"/>
    <col min="65" max="65" width="21.00390625" style="0" customWidth="1"/>
    <col min="66" max="66" width="20.7109375" style="0" customWidth="1"/>
    <col min="67" max="67" width="19.28125" style="0" hidden="1" customWidth="1"/>
    <col min="68" max="68" width="19.140625" style="0" customWidth="1"/>
    <col min="69" max="69" width="13.7109375" style="0" customWidth="1"/>
    <col min="70" max="70" width="15.7109375" style="0" customWidth="1"/>
    <col min="71" max="71" width="16.00390625" style="0" hidden="1" customWidth="1"/>
    <col min="72" max="72" width="15.421875" style="0" customWidth="1"/>
    <col min="73" max="73" width="71.00390625" style="0" customWidth="1"/>
    <col min="74" max="74" width="11.421875" style="0" customWidth="1"/>
  </cols>
  <sheetData>
    <row r="5" spans="32:37" ht="62.25" customHeight="1">
      <c r="AF5" s="161">
        <v>1396</v>
      </c>
      <c r="AG5" s="161"/>
      <c r="AH5" s="161"/>
      <c r="AI5" s="161"/>
      <c r="AJ5" s="161"/>
      <c r="AK5" s="3"/>
    </row>
    <row r="6" spans="32:37" ht="15" customHeight="1">
      <c r="AF6" s="161"/>
      <c r="AG6" s="161"/>
      <c r="AH6" s="161"/>
      <c r="AI6" s="161"/>
      <c r="AJ6" s="161"/>
      <c r="AK6" s="4"/>
    </row>
    <row r="7" spans="32:37" ht="15" customHeight="1">
      <c r="AF7" s="161"/>
      <c r="AG7" s="161"/>
      <c r="AH7" s="161"/>
      <c r="AI7" s="161"/>
      <c r="AJ7" s="161"/>
      <c r="AK7" s="4"/>
    </row>
    <row r="8" spans="32:37" ht="15" customHeight="1">
      <c r="AF8" s="161"/>
      <c r="AG8" s="161"/>
      <c r="AH8" s="161"/>
      <c r="AI8" s="161"/>
      <c r="AJ8" s="161"/>
      <c r="AK8" s="4"/>
    </row>
    <row r="9" spans="32:37" ht="15" customHeight="1">
      <c r="AF9" s="161"/>
      <c r="AG9" s="161"/>
      <c r="AH9" s="161"/>
      <c r="AI9" s="161"/>
      <c r="AJ9" s="161"/>
      <c r="AK9" s="2"/>
    </row>
    <row r="10" spans="32:36" ht="15">
      <c r="AF10" s="161"/>
      <c r="AG10" s="161"/>
      <c r="AH10" s="161"/>
      <c r="AI10" s="161"/>
      <c r="AJ10" s="161"/>
    </row>
    <row r="11" ht="15.75" thickBot="1"/>
    <row r="12" spans="14:74" ht="105.75" thickBot="1" thickTop="1">
      <c r="N12" s="151" t="s">
        <v>12</v>
      </c>
      <c r="O12" s="152"/>
      <c r="P12" s="150" t="s">
        <v>11</v>
      </c>
      <c r="Q12" s="150"/>
      <c r="R12" s="150"/>
      <c r="S12" s="61"/>
      <c r="T12" s="162" t="s">
        <v>10</v>
      </c>
      <c r="U12" s="162"/>
      <c r="V12" s="162"/>
      <c r="W12" s="158" t="s">
        <v>9</v>
      </c>
      <c r="X12" s="158"/>
      <c r="Y12" s="155" t="s">
        <v>8</v>
      </c>
      <c r="Z12" s="155"/>
      <c r="AA12" s="171" t="s">
        <v>7</v>
      </c>
      <c r="AB12" s="171"/>
      <c r="AC12" s="171"/>
      <c r="AD12" s="171"/>
      <c r="AE12" s="175" t="s">
        <v>6</v>
      </c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62"/>
      <c r="AR12" s="165" t="s">
        <v>5</v>
      </c>
      <c r="AS12" s="165"/>
      <c r="AT12" s="165"/>
      <c r="AU12" s="165"/>
      <c r="AV12" s="165"/>
      <c r="AW12" s="63"/>
      <c r="AX12" s="156" t="s">
        <v>4</v>
      </c>
      <c r="AY12" s="156"/>
      <c r="AZ12" s="156"/>
      <c r="BA12" s="156"/>
      <c r="BB12" s="166" t="s">
        <v>3</v>
      </c>
      <c r="BC12" s="166"/>
      <c r="BD12" s="166"/>
      <c r="BE12" s="166"/>
      <c r="BF12" s="166"/>
      <c r="BG12" s="162" t="s">
        <v>2</v>
      </c>
      <c r="BH12" s="162"/>
      <c r="BI12" s="162"/>
      <c r="BJ12" s="172" t="s">
        <v>1</v>
      </c>
      <c r="BK12" s="173"/>
      <c r="BL12" s="173"/>
      <c r="BM12" s="173"/>
      <c r="BN12" s="173"/>
      <c r="BO12" s="173"/>
      <c r="BP12" s="173"/>
      <c r="BQ12" s="173"/>
      <c r="BR12" s="174"/>
      <c r="BS12" s="64"/>
      <c r="BT12" s="156" t="s">
        <v>0</v>
      </c>
      <c r="BU12" s="156"/>
      <c r="BV12" s="157"/>
    </row>
    <row r="13" spans="14:74" ht="84" thickBot="1">
      <c r="N13" s="5"/>
      <c r="O13" s="148" t="s">
        <v>75</v>
      </c>
      <c r="P13" s="30" t="s">
        <v>88</v>
      </c>
      <c r="Q13" s="30" t="s">
        <v>89</v>
      </c>
      <c r="R13" s="30" t="s">
        <v>90</v>
      </c>
      <c r="S13" s="6"/>
      <c r="T13" s="20" t="s">
        <v>86</v>
      </c>
      <c r="U13" s="20"/>
      <c r="V13" s="20" t="s">
        <v>87</v>
      </c>
      <c r="W13" s="41" t="s">
        <v>82</v>
      </c>
      <c r="X13" s="41" t="s">
        <v>83</v>
      </c>
      <c r="Y13" s="37" t="s">
        <v>80</v>
      </c>
      <c r="Z13" s="38" t="s">
        <v>81</v>
      </c>
      <c r="AA13" s="33" t="s">
        <v>76</v>
      </c>
      <c r="AB13" s="34" t="s">
        <v>77</v>
      </c>
      <c r="AC13" s="169" t="s">
        <v>78</v>
      </c>
      <c r="AD13" s="34" t="s">
        <v>79</v>
      </c>
      <c r="AE13" s="148" t="s">
        <v>75</v>
      </c>
      <c r="AF13" s="30" t="s">
        <v>63</v>
      </c>
      <c r="AG13" s="30"/>
      <c r="AH13" s="30" t="s">
        <v>140</v>
      </c>
      <c r="AI13" s="30"/>
      <c r="AJ13" s="30" t="s">
        <v>71</v>
      </c>
      <c r="AK13" s="30"/>
      <c r="AL13" s="30" t="s">
        <v>70</v>
      </c>
      <c r="AM13" s="30"/>
      <c r="AN13" s="30" t="s">
        <v>72</v>
      </c>
      <c r="AO13" s="30"/>
      <c r="AP13" s="31" t="s">
        <v>73</v>
      </c>
      <c r="AQ13" s="31"/>
      <c r="AR13" s="27" t="s">
        <v>103</v>
      </c>
      <c r="AS13" s="28"/>
      <c r="AT13" s="56" t="s">
        <v>67</v>
      </c>
      <c r="AU13" s="28" t="s">
        <v>68</v>
      </c>
      <c r="AV13" s="28" t="s">
        <v>69</v>
      </c>
      <c r="AW13" s="28"/>
      <c r="AX13" s="6" t="s">
        <v>63</v>
      </c>
      <c r="AY13" s="6" t="s">
        <v>64</v>
      </c>
      <c r="AZ13" s="6" t="s">
        <v>65</v>
      </c>
      <c r="BA13" s="6" t="s">
        <v>66</v>
      </c>
      <c r="BB13" s="24" t="s">
        <v>60</v>
      </c>
      <c r="BC13" s="24"/>
      <c r="BD13" s="25" t="s">
        <v>61</v>
      </c>
      <c r="BE13" s="24"/>
      <c r="BF13" s="24" t="s">
        <v>62</v>
      </c>
      <c r="BG13" s="20" t="s">
        <v>56</v>
      </c>
      <c r="BH13" s="21" t="s">
        <v>57</v>
      </c>
      <c r="BI13" s="20" t="s">
        <v>58</v>
      </c>
      <c r="BJ13" s="16" t="s">
        <v>151</v>
      </c>
      <c r="BK13" s="12" t="s">
        <v>54</v>
      </c>
      <c r="BL13" s="13" t="s">
        <v>152</v>
      </c>
      <c r="BM13" s="14" t="s">
        <v>138</v>
      </c>
      <c r="BN13" s="15" t="s">
        <v>137</v>
      </c>
      <c r="BO13" s="16"/>
      <c r="BP13" s="16" t="s">
        <v>136</v>
      </c>
      <c r="BQ13" s="16" t="s">
        <v>50</v>
      </c>
      <c r="BR13" s="16" t="s">
        <v>48</v>
      </c>
      <c r="BS13" s="9"/>
      <c r="BT13" s="1" t="s">
        <v>47</v>
      </c>
      <c r="BU13" s="154" t="s">
        <v>14</v>
      </c>
      <c r="BV13" s="153" t="s">
        <v>13</v>
      </c>
    </row>
    <row r="14" spans="14:74" ht="35.25" customHeight="1" thickBot="1">
      <c r="N14" s="7"/>
      <c r="O14" s="149"/>
      <c r="P14" s="32"/>
      <c r="Q14" s="32"/>
      <c r="R14" s="32"/>
      <c r="S14" s="10"/>
      <c r="T14" s="22" t="s">
        <v>55</v>
      </c>
      <c r="U14" s="22"/>
      <c r="V14" s="22" t="s">
        <v>55</v>
      </c>
      <c r="W14" s="42" t="s">
        <v>84</v>
      </c>
      <c r="X14" s="43" t="s">
        <v>85</v>
      </c>
      <c r="Y14" s="39" t="s">
        <v>52</v>
      </c>
      <c r="Z14" s="40" t="s">
        <v>52</v>
      </c>
      <c r="AA14" s="35" t="s">
        <v>52</v>
      </c>
      <c r="AB14" s="35" t="s">
        <v>52</v>
      </c>
      <c r="AC14" s="170"/>
      <c r="AD14" s="36" t="s">
        <v>52</v>
      </c>
      <c r="AE14" s="149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 t="s">
        <v>74</v>
      </c>
      <c r="AQ14" s="32"/>
      <c r="AR14" s="29" t="s">
        <v>52</v>
      </c>
      <c r="AS14" s="29"/>
      <c r="AT14" s="57" t="s">
        <v>55</v>
      </c>
      <c r="AU14" s="29" t="s">
        <v>55</v>
      </c>
      <c r="AV14" s="29" t="s">
        <v>55</v>
      </c>
      <c r="AW14" s="29"/>
      <c r="AX14" s="10" t="s">
        <v>52</v>
      </c>
      <c r="AY14" s="10" t="s">
        <v>52</v>
      </c>
      <c r="AZ14" s="10" t="s">
        <v>52</v>
      </c>
      <c r="BA14" s="10" t="s">
        <v>52</v>
      </c>
      <c r="BB14" s="26"/>
      <c r="BC14" s="26"/>
      <c r="BD14" s="26"/>
      <c r="BE14" s="26"/>
      <c r="BF14" s="26"/>
      <c r="BG14" s="22" t="s">
        <v>59</v>
      </c>
      <c r="BH14" s="23"/>
      <c r="BI14" s="22"/>
      <c r="BJ14" s="19" t="s">
        <v>52</v>
      </c>
      <c r="BK14" s="17" t="s">
        <v>55</v>
      </c>
      <c r="BL14" s="18" t="s">
        <v>52</v>
      </c>
      <c r="BM14" s="19" t="s">
        <v>52</v>
      </c>
      <c r="BN14" s="19" t="s">
        <v>53</v>
      </c>
      <c r="BO14" s="19"/>
      <c r="BP14" s="19" t="s">
        <v>52</v>
      </c>
      <c r="BQ14" s="19" t="s">
        <v>51</v>
      </c>
      <c r="BR14" s="19" t="s">
        <v>49</v>
      </c>
      <c r="BS14" s="11"/>
      <c r="BT14" s="8" t="s">
        <v>130</v>
      </c>
      <c r="BU14" s="154"/>
      <c r="BV14" s="153"/>
    </row>
    <row r="15" spans="14:74" ht="40.5" customHeight="1" thickBot="1">
      <c r="N15" s="84"/>
      <c r="O15" s="85">
        <v>1</v>
      </c>
      <c r="P15" s="86"/>
      <c r="Q15" s="86"/>
      <c r="R15" s="86"/>
      <c r="S15" s="85">
        <f aca="true" t="shared" si="0" ref="S15:S50">(T15*BM15)</f>
        <v>28636297.3</v>
      </c>
      <c r="T15" s="87">
        <v>92.17</v>
      </c>
      <c r="U15" s="87">
        <f aca="true" t="shared" si="1" ref="U15:U50">(V15*BM15)</f>
        <v>27698013.5</v>
      </c>
      <c r="V15" s="87">
        <v>89.15</v>
      </c>
      <c r="W15" s="88">
        <f>(BM15/BS15)*100</f>
        <v>103.56333333333335</v>
      </c>
      <c r="X15" s="88">
        <f>(BM15/BS15)*100</f>
        <v>103.56333333333335</v>
      </c>
      <c r="Y15" s="89">
        <v>28436</v>
      </c>
      <c r="Z15" s="89">
        <v>13450</v>
      </c>
      <c r="AA15" s="90"/>
      <c r="AB15" s="90"/>
      <c r="AC15" s="91">
        <f aca="true" t="shared" si="2" ref="AC15:AC51">(AD15/BL15)*100</f>
        <v>4.710895694744889</v>
      </c>
      <c r="AD15" s="92">
        <v>14482</v>
      </c>
      <c r="AE15" s="177">
        <v>1</v>
      </c>
      <c r="AF15" s="93">
        <f>AH15+AJ15+AL15+AN15+AP15</f>
        <v>2.2430000000000003</v>
      </c>
      <c r="AG15" s="93">
        <f aca="true" t="shared" si="3" ref="AG15:AG50">(AH15*BM15)</f>
        <v>0</v>
      </c>
      <c r="AH15" s="93"/>
      <c r="AI15" s="93">
        <f aca="true" t="shared" si="4" ref="AI15:AI50">(AJ15*BM15)</f>
        <v>25165.89</v>
      </c>
      <c r="AJ15" s="93">
        <v>0.081</v>
      </c>
      <c r="AK15" s="93">
        <f aca="true" t="shared" si="5" ref="AK15:AK50">(AL15*BM15)</f>
        <v>503939.18000000005</v>
      </c>
      <c r="AL15" s="93">
        <v>1.622</v>
      </c>
      <c r="AM15" s="93">
        <f>(AN15*BM15)</f>
        <v>34175.9</v>
      </c>
      <c r="AN15" s="93">
        <v>0.11</v>
      </c>
      <c r="AO15" s="93">
        <f aca="true" t="shared" si="6" ref="AO15:AO50">(AP15*BM15)</f>
        <v>133596.7</v>
      </c>
      <c r="AP15" s="93">
        <v>0.43</v>
      </c>
      <c r="AQ15" s="93">
        <f>(BF15*BP15/100)*AT15/100</f>
        <v>43172.99317004087</v>
      </c>
      <c r="AR15" s="94">
        <f>(AQ15/BR15)</f>
        <v>9.127482699797223</v>
      </c>
      <c r="AS15" s="94">
        <f aca="true" t="shared" si="7" ref="AS15:AS61">(BF15*BM15)%</f>
        <v>60988.44699999999</v>
      </c>
      <c r="AT15" s="94">
        <f>(AX15/AS15)*100</f>
        <v>85.4735651819434</v>
      </c>
      <c r="AU15" s="94">
        <f aca="true" t="shared" si="8" ref="AU15:AU51">(AX15/BM15)*100</f>
        <v>16.778460845215488</v>
      </c>
      <c r="AV15" s="94">
        <f aca="true" t="shared" si="9" ref="AV15:AV52">(AX15/BL15)*100</f>
        <v>16.957207683424684</v>
      </c>
      <c r="AW15" s="94"/>
      <c r="AX15" s="95">
        <f>AY15+AZ15+BA15</f>
        <v>52129</v>
      </c>
      <c r="AY15" s="95">
        <v>0</v>
      </c>
      <c r="AZ15" s="95">
        <v>0</v>
      </c>
      <c r="BA15" s="95">
        <v>52129</v>
      </c>
      <c r="BB15" s="96">
        <f>BF15-BD15</f>
        <v>0.25</v>
      </c>
      <c r="BC15" s="96">
        <f aca="true" t="shared" si="10" ref="BC15:BC50">(BD15*BM15)</f>
        <v>6021172.199999999</v>
      </c>
      <c r="BD15" s="96">
        <v>19.38</v>
      </c>
      <c r="BE15" s="96">
        <f aca="true" t="shared" si="11" ref="BE15:BE50">(BF15*BM15)</f>
        <v>6098844.699999999</v>
      </c>
      <c r="BF15" s="96">
        <v>19.63</v>
      </c>
      <c r="BG15" s="87">
        <v>122</v>
      </c>
      <c r="BH15" s="59" t="s">
        <v>157</v>
      </c>
      <c r="BI15" s="59" t="s">
        <v>143</v>
      </c>
      <c r="BJ15" s="60">
        <f>(BL15/BG15)</f>
        <v>2519.7950819672133</v>
      </c>
      <c r="BK15" s="97">
        <f>((BM15-BL15)/BM15)*100</f>
        <v>1.0541053783514114</v>
      </c>
      <c r="BL15" s="60">
        <v>307415</v>
      </c>
      <c r="BM15" s="60">
        <f>BN15+BP15</f>
        <v>310690</v>
      </c>
      <c r="BN15" s="60">
        <v>53378</v>
      </c>
      <c r="BO15" s="60">
        <f aca="true" t="shared" si="12" ref="BO15:BO61">(BF15*BP15)/100</f>
        <v>50510.34559999999</v>
      </c>
      <c r="BP15" s="60">
        <v>257312</v>
      </c>
      <c r="BQ15" s="98">
        <f>BP15/BR15</f>
        <v>54.4</v>
      </c>
      <c r="BR15" s="60">
        <v>4730</v>
      </c>
      <c r="BS15" s="95">
        <f>BT15*100</f>
        <v>300000</v>
      </c>
      <c r="BT15" s="95">
        <v>3000</v>
      </c>
      <c r="BU15" s="65" t="s">
        <v>15</v>
      </c>
      <c r="BV15" s="66">
        <v>1</v>
      </c>
    </row>
    <row r="16" spans="14:74" ht="40.5" customHeight="1" thickBot="1">
      <c r="N16" s="84"/>
      <c r="O16" s="85">
        <v>2</v>
      </c>
      <c r="P16" s="86"/>
      <c r="Q16" s="86"/>
      <c r="R16" s="86"/>
      <c r="S16" s="85">
        <f t="shared" si="0"/>
        <v>8162007.680000001</v>
      </c>
      <c r="T16" s="87">
        <v>89.48</v>
      </c>
      <c r="U16" s="87">
        <f t="shared" si="1"/>
        <v>7844576</v>
      </c>
      <c r="V16" s="99">
        <v>86</v>
      </c>
      <c r="W16" s="88">
        <f aca="true" t="shared" si="13" ref="W16:W61">(BM16/BS16)*100</f>
        <v>60.81066666666667</v>
      </c>
      <c r="X16" s="88">
        <f aca="true" t="shared" si="14" ref="X16:X50">(BM16/BS16)*100</f>
        <v>60.81066666666667</v>
      </c>
      <c r="Y16" s="89">
        <v>2057</v>
      </c>
      <c r="Z16" s="89">
        <v>6207</v>
      </c>
      <c r="AA16" s="90"/>
      <c r="AB16" s="90"/>
      <c r="AC16" s="91">
        <f t="shared" si="2"/>
        <v>5.045353982300885</v>
      </c>
      <c r="AD16" s="92">
        <v>4561</v>
      </c>
      <c r="AE16" s="177">
        <v>2</v>
      </c>
      <c r="AF16" s="93">
        <f aca="true" t="shared" si="15" ref="AF16:AF61">AH16+AJ16+AL16+AN16+AP16</f>
        <v>4</v>
      </c>
      <c r="AG16" s="93">
        <f t="shared" si="3"/>
        <v>101249.76000000001</v>
      </c>
      <c r="AH16" s="93">
        <v>1.11</v>
      </c>
      <c r="AI16" s="93">
        <f t="shared" si="4"/>
        <v>10033.76</v>
      </c>
      <c r="AJ16" s="93">
        <v>0.11</v>
      </c>
      <c r="AK16" s="93">
        <f t="shared" si="5"/>
        <v>228040</v>
      </c>
      <c r="AL16" s="93">
        <v>2.5</v>
      </c>
      <c r="AM16" s="93">
        <f>(AN15*BM15)</f>
        <v>34175.9</v>
      </c>
      <c r="AN16" s="93">
        <v>0.05</v>
      </c>
      <c r="AO16" s="93">
        <f t="shared" si="6"/>
        <v>20979.68</v>
      </c>
      <c r="AP16" s="93">
        <v>0.23</v>
      </c>
      <c r="AQ16" s="93">
        <f>(BF16*BP16/100)</f>
        <v>16327.663999999999</v>
      </c>
      <c r="AR16" s="94">
        <f>(AQ16/BR16)</f>
        <v>9.330093714285713</v>
      </c>
      <c r="AS16" s="94">
        <f t="shared" si="7"/>
        <v>16327.663999999999</v>
      </c>
      <c r="AT16" s="94">
        <f aca="true" t="shared" si="16" ref="AT16:AT51">(AX16/AS16)*100</f>
        <v>77.62898599579218</v>
      </c>
      <c r="AU16" s="94">
        <f t="shared" si="8"/>
        <v>13.8955884932468</v>
      </c>
      <c r="AV16" s="94">
        <f t="shared" si="9"/>
        <v>14.021017699115044</v>
      </c>
      <c r="AW16" s="94"/>
      <c r="AX16" s="95">
        <f aca="true" t="shared" si="17" ref="AX16:AX60">AY16+AZ16+BA16</f>
        <v>12675</v>
      </c>
      <c r="AY16" s="95">
        <v>161</v>
      </c>
      <c r="AZ16" s="95">
        <v>0</v>
      </c>
      <c r="BA16" s="95">
        <v>12514</v>
      </c>
      <c r="BB16" s="96">
        <f aca="true" t="shared" si="18" ref="BB16:BB51">BF16-BD16</f>
        <v>0.9799999999999969</v>
      </c>
      <c r="BC16" s="96">
        <f t="shared" si="10"/>
        <v>1543374.7200000002</v>
      </c>
      <c r="BD16" s="96">
        <v>16.92</v>
      </c>
      <c r="BE16" s="96">
        <f t="shared" si="11"/>
        <v>1632766.4</v>
      </c>
      <c r="BF16" s="96">
        <v>17.9</v>
      </c>
      <c r="BG16" s="87">
        <v>82</v>
      </c>
      <c r="BH16" s="59" t="s">
        <v>123</v>
      </c>
      <c r="BI16" s="59" t="s">
        <v>139</v>
      </c>
      <c r="BJ16" s="60">
        <f aca="true" t="shared" si="19" ref="BJ16:BJ61">(BL16/BG16)</f>
        <v>1102.439024390244</v>
      </c>
      <c r="BK16" s="97">
        <f aca="true" t="shared" si="20" ref="BK16:BK61">((BM16-BL16)/BM16)*100</f>
        <v>0.8945798982634626</v>
      </c>
      <c r="BL16" s="60">
        <v>90400</v>
      </c>
      <c r="BM16" s="60">
        <f aca="true" t="shared" si="21" ref="BM16:BM61">BN16+BP16</f>
        <v>91216</v>
      </c>
      <c r="BN16" s="60">
        <v>0</v>
      </c>
      <c r="BO16" s="60">
        <f t="shared" si="12"/>
        <v>16327.663999999999</v>
      </c>
      <c r="BP16" s="60">
        <v>91216</v>
      </c>
      <c r="BQ16" s="98">
        <f aca="true" t="shared" si="22" ref="BQ16:BQ61">BP16/BR16</f>
        <v>52.12342857142857</v>
      </c>
      <c r="BR16" s="60">
        <v>1750</v>
      </c>
      <c r="BS16" s="95">
        <f aca="true" t="shared" si="23" ref="BS16:BS61">BT16*100</f>
        <v>150000</v>
      </c>
      <c r="BT16" s="95">
        <v>1500</v>
      </c>
      <c r="BU16" s="65" t="s">
        <v>91</v>
      </c>
      <c r="BV16" s="66">
        <f aca="true" t="shared" si="24" ref="BV16:BV46">SUM(BV15,1)</f>
        <v>2</v>
      </c>
    </row>
    <row r="17" spans="14:74" ht="41.25" customHeight="1" thickBot="1">
      <c r="N17" s="84"/>
      <c r="O17" s="85">
        <v>3</v>
      </c>
      <c r="P17" s="86"/>
      <c r="Q17" s="86"/>
      <c r="R17" s="86"/>
      <c r="S17" s="85">
        <f t="shared" si="0"/>
        <v>54750886.23</v>
      </c>
      <c r="T17" s="87">
        <v>92.21</v>
      </c>
      <c r="U17" s="87">
        <f t="shared" si="1"/>
        <v>52358021.34</v>
      </c>
      <c r="V17" s="87">
        <v>88.18</v>
      </c>
      <c r="W17" s="88">
        <f t="shared" si="13"/>
        <v>118.7526</v>
      </c>
      <c r="X17" s="88">
        <f t="shared" si="14"/>
        <v>118.7526</v>
      </c>
      <c r="Y17" s="89">
        <v>13887</v>
      </c>
      <c r="Z17" s="89">
        <v>35250</v>
      </c>
      <c r="AA17" s="90"/>
      <c r="AB17" s="90"/>
      <c r="AC17" s="91">
        <f t="shared" si="2"/>
        <v>4.6964254577157805</v>
      </c>
      <c r="AD17" s="92">
        <v>26934</v>
      </c>
      <c r="AE17" s="177">
        <v>3</v>
      </c>
      <c r="AF17" s="93">
        <f t="shared" si="15"/>
        <v>2.98</v>
      </c>
      <c r="AG17" s="93">
        <f t="shared" si="3"/>
        <v>0</v>
      </c>
      <c r="AH17" s="93">
        <v>0</v>
      </c>
      <c r="AI17" s="93">
        <f t="shared" si="4"/>
        <v>127659.045</v>
      </c>
      <c r="AJ17" s="93">
        <v>0.215</v>
      </c>
      <c r="AK17" s="93">
        <f t="shared" si="5"/>
        <v>1395343.05</v>
      </c>
      <c r="AL17" s="93">
        <v>2.35</v>
      </c>
      <c r="AM17" s="93">
        <f aca="true" t="shared" si="25" ref="AM17:AM50">(AN17*BM17)</f>
        <v>20781.705</v>
      </c>
      <c r="AN17" s="93">
        <v>0.035</v>
      </c>
      <c r="AO17" s="93">
        <f t="shared" si="6"/>
        <v>225629.94</v>
      </c>
      <c r="AP17" s="93">
        <v>0.38</v>
      </c>
      <c r="AQ17" s="93">
        <f aca="true" t="shared" si="26" ref="AQ17:AQ50">(BF17*BP17/100)</f>
        <v>76126.968</v>
      </c>
      <c r="AR17" s="94">
        <f aca="true" t="shared" si="27" ref="AR17:AR50">(AQ17/BR17)</f>
        <v>10.674</v>
      </c>
      <c r="AS17" s="94">
        <f t="shared" si="7"/>
        <v>105630.4377</v>
      </c>
      <c r="AT17" s="94">
        <f t="shared" si="16"/>
        <v>77.34797069765432</v>
      </c>
      <c r="AU17" s="94">
        <f t="shared" si="8"/>
        <v>13.760203987112703</v>
      </c>
      <c r="AV17" s="94">
        <f t="shared" si="9"/>
        <v>14.246381865736705</v>
      </c>
      <c r="AW17" s="94"/>
      <c r="AX17" s="95">
        <f t="shared" si="17"/>
        <v>81703</v>
      </c>
      <c r="AY17" s="95">
        <v>0</v>
      </c>
      <c r="AZ17" s="95">
        <v>0</v>
      </c>
      <c r="BA17" s="95">
        <v>81703</v>
      </c>
      <c r="BB17" s="96">
        <f t="shared" si="18"/>
        <v>0.5700000000000003</v>
      </c>
      <c r="BC17" s="96">
        <f t="shared" si="10"/>
        <v>10224598.86</v>
      </c>
      <c r="BD17" s="96">
        <v>17.22</v>
      </c>
      <c r="BE17" s="96">
        <f t="shared" si="11"/>
        <v>10563043.77</v>
      </c>
      <c r="BF17" s="96">
        <v>17.79</v>
      </c>
      <c r="BG17" s="87">
        <v>142</v>
      </c>
      <c r="BH17" s="59" t="s">
        <v>105</v>
      </c>
      <c r="BI17" s="59" t="s">
        <v>104</v>
      </c>
      <c r="BJ17" s="60">
        <f t="shared" si="19"/>
        <v>4038.7323943661972</v>
      </c>
      <c r="BK17" s="97">
        <f t="shared" si="20"/>
        <v>3.412641070595507</v>
      </c>
      <c r="BL17" s="60">
        <v>573500</v>
      </c>
      <c r="BM17" s="60">
        <f t="shared" si="21"/>
        <v>593763</v>
      </c>
      <c r="BN17" s="60">
        <v>165843</v>
      </c>
      <c r="BO17" s="60">
        <f t="shared" si="12"/>
        <v>76126.968</v>
      </c>
      <c r="BP17" s="60">
        <v>427920</v>
      </c>
      <c r="BQ17" s="98">
        <f t="shared" si="22"/>
        <v>60</v>
      </c>
      <c r="BR17" s="60">
        <v>7132</v>
      </c>
      <c r="BS17" s="95">
        <f t="shared" si="23"/>
        <v>500000</v>
      </c>
      <c r="BT17" s="95">
        <v>5000</v>
      </c>
      <c r="BU17" s="65" t="s">
        <v>174</v>
      </c>
      <c r="BV17" s="66">
        <v>3</v>
      </c>
    </row>
    <row r="18" spans="14:74" ht="36" customHeight="1" thickBot="1">
      <c r="N18" s="84"/>
      <c r="O18" s="85">
        <v>3</v>
      </c>
      <c r="P18" s="86"/>
      <c r="Q18" s="86"/>
      <c r="R18" s="86"/>
      <c r="S18" s="85">
        <f t="shared" si="0"/>
        <v>1406251.56</v>
      </c>
      <c r="T18" s="87">
        <v>94.43</v>
      </c>
      <c r="U18" s="87">
        <f t="shared" si="1"/>
        <v>1254204.24</v>
      </c>
      <c r="V18" s="87">
        <v>84.22</v>
      </c>
      <c r="W18" s="88"/>
      <c r="X18" s="88"/>
      <c r="Y18" s="89">
        <v>148</v>
      </c>
      <c r="Z18" s="89">
        <v>980</v>
      </c>
      <c r="AA18" s="90"/>
      <c r="AB18" s="90"/>
      <c r="AC18" s="91">
        <f t="shared" si="2"/>
        <v>4.989830508474577</v>
      </c>
      <c r="AD18" s="92">
        <v>736</v>
      </c>
      <c r="AE18" s="177">
        <v>3</v>
      </c>
      <c r="AF18" s="93">
        <f t="shared" si="15"/>
        <v>3.036</v>
      </c>
      <c r="AG18" s="93">
        <f t="shared" si="3"/>
        <v>0</v>
      </c>
      <c r="AH18" s="93">
        <v>0</v>
      </c>
      <c r="AI18" s="93">
        <f t="shared" si="4"/>
        <v>2338.044</v>
      </c>
      <c r="AJ18" s="93">
        <v>0.157</v>
      </c>
      <c r="AK18" s="93">
        <f t="shared" si="5"/>
        <v>37155.54</v>
      </c>
      <c r="AL18" s="93">
        <v>2.495</v>
      </c>
      <c r="AM18" s="93">
        <f t="shared" si="25"/>
        <v>506.32800000000003</v>
      </c>
      <c r="AN18" s="93">
        <v>0.034</v>
      </c>
      <c r="AO18" s="93">
        <f t="shared" si="6"/>
        <v>5212.2</v>
      </c>
      <c r="AP18" s="93">
        <v>0.35</v>
      </c>
      <c r="AQ18" s="93">
        <f t="shared" si="26"/>
        <v>2482.4964</v>
      </c>
      <c r="AR18" s="94">
        <f t="shared" si="27"/>
        <v>5.629243537414966</v>
      </c>
      <c r="AS18" s="94">
        <f t="shared" si="7"/>
        <v>2482.4964</v>
      </c>
      <c r="AT18" s="94">
        <f t="shared" si="16"/>
        <v>78.02629643289714</v>
      </c>
      <c r="AU18" s="94">
        <f t="shared" si="8"/>
        <v>13.006983615363954</v>
      </c>
      <c r="AV18" s="94">
        <f t="shared" si="9"/>
        <v>13.132203389830508</v>
      </c>
      <c r="AW18" s="94"/>
      <c r="AX18" s="95">
        <f t="shared" si="17"/>
        <v>1937</v>
      </c>
      <c r="AY18" s="95">
        <v>0</v>
      </c>
      <c r="AZ18" s="95">
        <v>0</v>
      </c>
      <c r="BA18" s="95">
        <v>1937</v>
      </c>
      <c r="BB18" s="96">
        <f t="shared" si="18"/>
        <v>0.5</v>
      </c>
      <c r="BC18" s="96">
        <f t="shared" si="10"/>
        <v>240803.64</v>
      </c>
      <c r="BD18" s="96">
        <v>16.17</v>
      </c>
      <c r="BE18" s="96">
        <f t="shared" si="11"/>
        <v>248249.64</v>
      </c>
      <c r="BF18" s="96">
        <v>16.67</v>
      </c>
      <c r="BG18" s="87">
        <v>17</v>
      </c>
      <c r="BH18" s="59" t="s">
        <v>111</v>
      </c>
      <c r="BI18" s="59" t="s">
        <v>110</v>
      </c>
      <c r="BJ18" s="60">
        <f t="shared" si="19"/>
        <v>867.6470588235294</v>
      </c>
      <c r="BK18" s="97">
        <f t="shared" si="20"/>
        <v>0.953532097770615</v>
      </c>
      <c r="BL18" s="60">
        <v>14750</v>
      </c>
      <c r="BM18" s="60">
        <f t="shared" si="21"/>
        <v>14892</v>
      </c>
      <c r="BN18" s="60">
        <v>0</v>
      </c>
      <c r="BO18" s="60">
        <f t="shared" si="12"/>
        <v>2482.4964</v>
      </c>
      <c r="BP18" s="60">
        <v>14892</v>
      </c>
      <c r="BQ18" s="98">
        <f t="shared" si="22"/>
        <v>33.7687074829932</v>
      </c>
      <c r="BR18" s="60">
        <v>441</v>
      </c>
      <c r="BS18" s="95">
        <f t="shared" si="23"/>
        <v>0</v>
      </c>
      <c r="BT18" s="95"/>
      <c r="BU18" s="65" t="s">
        <v>92</v>
      </c>
      <c r="BV18" s="66">
        <v>3</v>
      </c>
    </row>
    <row r="19" spans="14:74" ht="40.5" customHeight="1" thickBot="1">
      <c r="N19" s="84"/>
      <c r="O19" s="85">
        <v>4</v>
      </c>
      <c r="P19" s="86"/>
      <c r="Q19" s="86"/>
      <c r="R19" s="86"/>
      <c r="S19" s="85">
        <f t="shared" si="0"/>
        <v>13667592.62</v>
      </c>
      <c r="T19" s="87">
        <v>90.82</v>
      </c>
      <c r="U19" s="87">
        <f t="shared" si="1"/>
        <v>13328987.87</v>
      </c>
      <c r="V19" s="87">
        <v>88.57</v>
      </c>
      <c r="W19" s="88">
        <f t="shared" si="13"/>
        <v>150.49099999999999</v>
      </c>
      <c r="X19" s="88">
        <f t="shared" si="14"/>
        <v>150.49099999999999</v>
      </c>
      <c r="Y19" s="89">
        <v>11642</v>
      </c>
      <c r="Z19" s="89">
        <v>6548</v>
      </c>
      <c r="AA19" s="90"/>
      <c r="AB19" s="90"/>
      <c r="AC19" s="91">
        <f t="shared" si="2"/>
        <v>4.899473095746604</v>
      </c>
      <c r="AD19" s="92">
        <v>7318</v>
      </c>
      <c r="AE19" s="177">
        <v>4</v>
      </c>
      <c r="AF19" s="93">
        <f t="shared" si="15"/>
        <v>3.3000000000000007</v>
      </c>
      <c r="AG19" s="93">
        <f t="shared" si="3"/>
        <v>0</v>
      </c>
      <c r="AH19" s="93">
        <v>0</v>
      </c>
      <c r="AI19" s="93">
        <f t="shared" si="4"/>
        <v>42137.48</v>
      </c>
      <c r="AJ19" s="93">
        <v>0.28</v>
      </c>
      <c r="AK19" s="93">
        <f t="shared" si="5"/>
        <v>368702.95</v>
      </c>
      <c r="AL19" s="93">
        <v>2.45</v>
      </c>
      <c r="AM19" s="93">
        <f t="shared" si="25"/>
        <v>42137.48</v>
      </c>
      <c r="AN19" s="93">
        <v>0.28</v>
      </c>
      <c r="AO19" s="93">
        <f t="shared" si="6"/>
        <v>43642.39</v>
      </c>
      <c r="AP19" s="93">
        <v>0.29</v>
      </c>
      <c r="AQ19" s="93">
        <f t="shared" si="26"/>
        <v>25544.4992</v>
      </c>
      <c r="AR19" s="94">
        <f t="shared" si="27"/>
        <v>9.0712</v>
      </c>
      <c r="AS19" s="94">
        <f t="shared" si="7"/>
        <v>29676.8252</v>
      </c>
      <c r="AT19" s="94">
        <f t="shared" si="16"/>
        <v>81.37999882817654</v>
      </c>
      <c r="AU19" s="94">
        <f t="shared" si="8"/>
        <v>16.048135768916413</v>
      </c>
      <c r="AV19" s="94">
        <f t="shared" si="9"/>
        <v>16.169332431726733</v>
      </c>
      <c r="AW19" s="94"/>
      <c r="AX19" s="95">
        <f t="shared" si="17"/>
        <v>24151</v>
      </c>
      <c r="AY19" s="95">
        <v>91</v>
      </c>
      <c r="AZ19" s="95">
        <v>0</v>
      </c>
      <c r="BA19" s="95">
        <v>24060</v>
      </c>
      <c r="BB19" s="96">
        <f t="shared" si="18"/>
        <v>0.25</v>
      </c>
      <c r="BC19" s="96">
        <f t="shared" si="10"/>
        <v>2930059.77</v>
      </c>
      <c r="BD19" s="96">
        <v>19.47</v>
      </c>
      <c r="BE19" s="96">
        <f t="shared" si="11"/>
        <v>2967682.52</v>
      </c>
      <c r="BF19" s="96">
        <v>19.72</v>
      </c>
      <c r="BG19" s="87">
        <v>109</v>
      </c>
      <c r="BH19" s="59" t="s">
        <v>109</v>
      </c>
      <c r="BI19" s="59" t="s">
        <v>112</v>
      </c>
      <c r="BJ19" s="60">
        <f t="shared" si="19"/>
        <v>1370.302752293578</v>
      </c>
      <c r="BK19" s="97">
        <f t="shared" si="20"/>
        <v>0.7495464845073792</v>
      </c>
      <c r="BL19" s="60">
        <v>149363</v>
      </c>
      <c r="BM19" s="60">
        <f t="shared" si="21"/>
        <v>150491</v>
      </c>
      <c r="BN19" s="60">
        <v>20955</v>
      </c>
      <c r="BO19" s="60">
        <f t="shared" si="12"/>
        <v>25544.4992</v>
      </c>
      <c r="BP19" s="60">
        <v>129536</v>
      </c>
      <c r="BQ19" s="98">
        <f t="shared" si="22"/>
        <v>46</v>
      </c>
      <c r="BR19" s="60">
        <v>2816</v>
      </c>
      <c r="BS19" s="95">
        <f t="shared" si="23"/>
        <v>100000</v>
      </c>
      <c r="BT19" s="95">
        <v>1000</v>
      </c>
      <c r="BU19" s="65" t="s">
        <v>16</v>
      </c>
      <c r="BV19" s="66">
        <f>SUM(BV17,1)</f>
        <v>4</v>
      </c>
    </row>
    <row r="20" spans="14:74" ht="42.75" customHeight="1" thickBot="1">
      <c r="N20" s="84"/>
      <c r="O20" s="85">
        <v>5</v>
      </c>
      <c r="P20" s="86"/>
      <c r="Q20" s="86"/>
      <c r="R20" s="86"/>
      <c r="S20" s="85">
        <f t="shared" si="0"/>
        <v>27489103.5</v>
      </c>
      <c r="T20" s="87">
        <v>90.5</v>
      </c>
      <c r="U20" s="87">
        <f t="shared" si="1"/>
        <v>26638611.900000002</v>
      </c>
      <c r="V20" s="87">
        <v>87.7</v>
      </c>
      <c r="W20" s="88">
        <f t="shared" si="13"/>
        <v>75.93675</v>
      </c>
      <c r="X20" s="88">
        <f t="shared" si="14"/>
        <v>75.93675</v>
      </c>
      <c r="Y20" s="89">
        <v>47770</v>
      </c>
      <c r="Z20" s="89">
        <v>11655</v>
      </c>
      <c r="AA20" s="90"/>
      <c r="AB20" s="90"/>
      <c r="AC20" s="91">
        <f t="shared" si="2"/>
        <v>4.360091045519417</v>
      </c>
      <c r="AD20" s="92">
        <v>13045</v>
      </c>
      <c r="AE20" s="177">
        <v>5</v>
      </c>
      <c r="AF20" s="93">
        <f t="shared" si="15"/>
        <v>2.58</v>
      </c>
      <c r="AG20" s="93">
        <f t="shared" si="3"/>
        <v>0</v>
      </c>
      <c r="AH20" s="93">
        <v>0</v>
      </c>
      <c r="AI20" s="93">
        <f t="shared" si="4"/>
        <v>33412.17</v>
      </c>
      <c r="AJ20" s="93">
        <v>0.11</v>
      </c>
      <c r="AK20" s="93">
        <f t="shared" si="5"/>
        <v>662168.4600000001</v>
      </c>
      <c r="AL20" s="93">
        <v>2.18</v>
      </c>
      <c r="AM20" s="93">
        <f t="shared" si="25"/>
        <v>12149.880000000001</v>
      </c>
      <c r="AN20" s="93">
        <v>0.04</v>
      </c>
      <c r="AO20" s="93">
        <f t="shared" si="6"/>
        <v>75936.75</v>
      </c>
      <c r="AP20" s="93">
        <v>0.25</v>
      </c>
      <c r="AQ20" s="93">
        <f t="shared" si="26"/>
        <v>43771.727999999996</v>
      </c>
      <c r="AR20" s="94">
        <f t="shared" si="27"/>
        <v>7.652399999999999</v>
      </c>
      <c r="AS20" s="94">
        <f t="shared" si="7"/>
        <v>55342.7034</v>
      </c>
      <c r="AT20" s="94">
        <f t="shared" si="16"/>
        <v>83.15640034310286</v>
      </c>
      <c r="AU20" s="94">
        <f t="shared" si="8"/>
        <v>15.151096142513342</v>
      </c>
      <c r="AV20" s="94">
        <f t="shared" si="9"/>
        <v>15.38181295560361</v>
      </c>
      <c r="AW20" s="94"/>
      <c r="AX20" s="95">
        <f>AY20+AZ20+BA20</f>
        <v>46021</v>
      </c>
      <c r="AY20" s="95">
        <v>0</v>
      </c>
      <c r="AZ20" s="95">
        <v>0</v>
      </c>
      <c r="BA20" s="95">
        <v>46021</v>
      </c>
      <c r="BB20" s="96">
        <f t="shared" si="18"/>
        <v>0.259999999999998</v>
      </c>
      <c r="BC20" s="96">
        <f t="shared" si="10"/>
        <v>5455296.12</v>
      </c>
      <c r="BD20" s="96">
        <v>17.96</v>
      </c>
      <c r="BE20" s="96">
        <f t="shared" si="11"/>
        <v>5534270.34</v>
      </c>
      <c r="BF20" s="96">
        <v>18.22</v>
      </c>
      <c r="BG20" s="87">
        <v>95</v>
      </c>
      <c r="BH20" s="59" t="s">
        <v>106</v>
      </c>
      <c r="BI20" s="59" t="s">
        <v>113</v>
      </c>
      <c r="BJ20" s="60">
        <f t="shared" si="19"/>
        <v>3149.378947368421</v>
      </c>
      <c r="BK20" s="97">
        <f t="shared" si="20"/>
        <v>1.4999325096214942</v>
      </c>
      <c r="BL20" s="60">
        <v>299191</v>
      </c>
      <c r="BM20" s="60">
        <f t="shared" si="21"/>
        <v>303747</v>
      </c>
      <c r="BN20" s="60">
        <v>63507</v>
      </c>
      <c r="BO20" s="60">
        <f t="shared" si="12"/>
        <v>43771.727999999996</v>
      </c>
      <c r="BP20" s="60">
        <v>240240</v>
      </c>
      <c r="BQ20" s="98">
        <f t="shared" si="22"/>
        <v>42</v>
      </c>
      <c r="BR20" s="60">
        <v>5720</v>
      </c>
      <c r="BS20" s="95">
        <f t="shared" si="23"/>
        <v>400000</v>
      </c>
      <c r="BT20" s="95">
        <v>4000</v>
      </c>
      <c r="BU20" s="65" t="s">
        <v>17</v>
      </c>
      <c r="BV20" s="66">
        <f t="shared" si="24"/>
        <v>5</v>
      </c>
    </row>
    <row r="21" spans="14:74" ht="39" customHeight="1" thickBot="1">
      <c r="N21" s="84"/>
      <c r="O21" s="85">
        <v>6</v>
      </c>
      <c r="P21" s="86"/>
      <c r="Q21" s="86"/>
      <c r="R21" s="86"/>
      <c r="S21" s="85">
        <f t="shared" si="0"/>
        <v>20592746.85</v>
      </c>
      <c r="T21" s="87">
        <v>91.65</v>
      </c>
      <c r="U21" s="87">
        <f t="shared" si="1"/>
        <v>19568165.01</v>
      </c>
      <c r="V21" s="87">
        <v>87.09</v>
      </c>
      <c r="W21" s="88">
        <f t="shared" si="13"/>
        <v>74.89633333333333</v>
      </c>
      <c r="X21" s="88">
        <f t="shared" si="14"/>
        <v>74.89633333333333</v>
      </c>
      <c r="Y21" s="89">
        <v>1735</v>
      </c>
      <c r="Z21" s="89">
        <v>17526</v>
      </c>
      <c r="AA21" s="90"/>
      <c r="AB21" s="90"/>
      <c r="AC21" s="91">
        <f t="shared" si="2"/>
        <v>4.408561097760908</v>
      </c>
      <c r="AD21" s="92">
        <v>9815</v>
      </c>
      <c r="AE21" s="177">
        <v>6</v>
      </c>
      <c r="AF21" s="93">
        <f t="shared" si="15"/>
        <v>2.57</v>
      </c>
      <c r="AG21" s="93">
        <f t="shared" si="3"/>
        <v>0</v>
      </c>
      <c r="AH21" s="93">
        <v>0</v>
      </c>
      <c r="AI21" s="93">
        <f t="shared" si="4"/>
        <v>23817.034</v>
      </c>
      <c r="AJ21" s="93">
        <v>0.106</v>
      </c>
      <c r="AK21" s="93">
        <f t="shared" si="5"/>
        <v>495214.55600000004</v>
      </c>
      <c r="AL21" s="93">
        <v>2.204</v>
      </c>
      <c r="AM21" s="93">
        <f t="shared" si="25"/>
        <v>17525.742</v>
      </c>
      <c r="AN21" s="93">
        <v>0.078</v>
      </c>
      <c r="AO21" s="93">
        <f t="shared" si="6"/>
        <v>40893.398</v>
      </c>
      <c r="AP21" s="93">
        <v>0.182</v>
      </c>
      <c r="AQ21" s="93">
        <f t="shared" si="26"/>
        <v>6485.8859999999995</v>
      </c>
      <c r="AR21" s="94">
        <f t="shared" si="27"/>
        <v>12.078</v>
      </c>
      <c r="AS21" s="94">
        <f t="shared" si="7"/>
        <v>41118.087</v>
      </c>
      <c r="AT21" s="94">
        <f t="shared" si="16"/>
        <v>80.42202936143406</v>
      </c>
      <c r="AU21" s="94">
        <f t="shared" si="8"/>
        <v>14.717231373142434</v>
      </c>
      <c r="AV21" s="94">
        <f t="shared" si="9"/>
        <v>14.853010532935073</v>
      </c>
      <c r="AW21" s="94"/>
      <c r="AX21" s="95">
        <f t="shared" si="17"/>
        <v>33068</v>
      </c>
      <c r="AY21" s="95">
        <v>240</v>
      </c>
      <c r="AZ21" s="95">
        <v>0</v>
      </c>
      <c r="BA21" s="95">
        <v>32828</v>
      </c>
      <c r="BB21" s="96">
        <f t="shared" si="18"/>
        <v>0.7600000000000016</v>
      </c>
      <c r="BC21" s="96">
        <f t="shared" si="10"/>
        <v>3941045.0599999996</v>
      </c>
      <c r="BD21" s="96">
        <v>17.54</v>
      </c>
      <c r="BE21" s="96">
        <f t="shared" si="11"/>
        <v>4111808.7</v>
      </c>
      <c r="BF21" s="96">
        <v>18.3</v>
      </c>
      <c r="BG21" s="87">
        <v>125</v>
      </c>
      <c r="BH21" s="59" t="s">
        <v>165</v>
      </c>
      <c r="BI21" s="59" t="s">
        <v>164</v>
      </c>
      <c r="BJ21" s="60">
        <f t="shared" si="19"/>
        <v>1781.08</v>
      </c>
      <c r="BK21" s="97">
        <f t="shared" si="20"/>
        <v>0.9141524507207741</v>
      </c>
      <c r="BL21" s="60">
        <v>222635</v>
      </c>
      <c r="BM21" s="60">
        <f t="shared" si="21"/>
        <v>224689</v>
      </c>
      <c r="BN21" s="60">
        <v>189247</v>
      </c>
      <c r="BO21" s="60">
        <f t="shared" si="12"/>
        <v>6485.8859999999995</v>
      </c>
      <c r="BP21" s="60">
        <v>35442</v>
      </c>
      <c r="BQ21" s="98">
        <f t="shared" si="22"/>
        <v>66</v>
      </c>
      <c r="BR21" s="60">
        <v>537</v>
      </c>
      <c r="BS21" s="95">
        <f t="shared" si="23"/>
        <v>300000</v>
      </c>
      <c r="BT21" s="95">
        <v>3000</v>
      </c>
      <c r="BU21" s="65" t="s">
        <v>18</v>
      </c>
      <c r="BV21" s="66">
        <f t="shared" si="24"/>
        <v>6</v>
      </c>
    </row>
    <row r="22" spans="14:74" ht="36.75" customHeight="1" thickBot="1">
      <c r="N22" s="84"/>
      <c r="O22" s="85">
        <v>7</v>
      </c>
      <c r="P22" s="86"/>
      <c r="Q22" s="86"/>
      <c r="R22" s="86"/>
      <c r="S22" s="85">
        <f t="shared" si="0"/>
        <v>20477388.419999998</v>
      </c>
      <c r="T22" s="87">
        <v>90.27</v>
      </c>
      <c r="U22" s="87">
        <f t="shared" si="1"/>
        <v>20146193.26</v>
      </c>
      <c r="V22" s="87">
        <v>88.81</v>
      </c>
      <c r="W22" s="88">
        <f t="shared" si="13"/>
        <v>90.7384</v>
      </c>
      <c r="X22" s="88">
        <f t="shared" si="14"/>
        <v>90.7384</v>
      </c>
      <c r="Y22" s="89">
        <v>8658</v>
      </c>
      <c r="Z22" s="89">
        <v>15000</v>
      </c>
      <c r="AA22" s="90"/>
      <c r="AB22" s="90"/>
      <c r="AC22" s="91">
        <f t="shared" si="2"/>
        <v>6.032035595105674</v>
      </c>
      <c r="AD22" s="92">
        <v>13557</v>
      </c>
      <c r="AE22" s="177">
        <v>7</v>
      </c>
      <c r="AF22" s="93">
        <f t="shared" si="15"/>
        <v>3.6799999999999997</v>
      </c>
      <c r="AG22" s="93">
        <f t="shared" si="3"/>
        <v>0</v>
      </c>
      <c r="AH22" s="93">
        <v>0</v>
      </c>
      <c r="AI22" s="93">
        <f t="shared" si="4"/>
        <v>89604.17</v>
      </c>
      <c r="AJ22" s="93">
        <v>0.395</v>
      </c>
      <c r="AK22" s="93">
        <f t="shared" si="5"/>
        <v>684167.536</v>
      </c>
      <c r="AL22" s="93">
        <v>3.016</v>
      </c>
      <c r="AM22" s="93">
        <f t="shared" si="25"/>
        <v>11342.300000000001</v>
      </c>
      <c r="AN22" s="93">
        <v>0.05</v>
      </c>
      <c r="AO22" s="93">
        <f t="shared" si="6"/>
        <v>49679.274</v>
      </c>
      <c r="AP22" s="93">
        <v>0.219</v>
      </c>
      <c r="AQ22" s="93">
        <f t="shared" si="26"/>
        <v>27908.9888</v>
      </c>
      <c r="AR22" s="94">
        <f t="shared" si="27"/>
        <v>8.950926491340603</v>
      </c>
      <c r="AS22" s="94">
        <f t="shared" si="7"/>
        <v>43917.385599999994</v>
      </c>
      <c r="AT22" s="94">
        <f t="shared" si="16"/>
        <v>78.25602442054293</v>
      </c>
      <c r="AU22" s="94">
        <f t="shared" si="8"/>
        <v>15.15036632781711</v>
      </c>
      <c r="AV22" s="94">
        <f t="shared" si="9"/>
        <v>15.291657397107898</v>
      </c>
      <c r="AW22" s="94"/>
      <c r="AX22" s="95">
        <f t="shared" si="17"/>
        <v>34368</v>
      </c>
      <c r="AY22" s="95">
        <v>168</v>
      </c>
      <c r="AZ22" s="95">
        <v>0</v>
      </c>
      <c r="BA22" s="95">
        <v>34200</v>
      </c>
      <c r="BB22" s="96">
        <f t="shared" si="18"/>
        <v>0.39000000000000057</v>
      </c>
      <c r="BC22" s="96">
        <f t="shared" si="10"/>
        <v>4303268.62</v>
      </c>
      <c r="BD22" s="96">
        <v>18.97</v>
      </c>
      <c r="BE22" s="96">
        <f t="shared" si="11"/>
        <v>4391738.56</v>
      </c>
      <c r="BF22" s="96">
        <v>19.36</v>
      </c>
      <c r="BG22" s="87">
        <v>125</v>
      </c>
      <c r="BH22" s="59" t="s">
        <v>150</v>
      </c>
      <c r="BI22" s="59" t="s">
        <v>117</v>
      </c>
      <c r="BJ22" s="60">
        <f t="shared" si="19"/>
        <v>1798</v>
      </c>
      <c r="BK22" s="97">
        <f t="shared" si="20"/>
        <v>0.9239748551881012</v>
      </c>
      <c r="BL22" s="60">
        <v>224750</v>
      </c>
      <c r="BM22" s="60">
        <f t="shared" si="21"/>
        <v>226846</v>
      </c>
      <c r="BN22" s="60">
        <v>82688</v>
      </c>
      <c r="BO22" s="60">
        <f t="shared" si="12"/>
        <v>27908.9888</v>
      </c>
      <c r="BP22" s="60">
        <v>144158</v>
      </c>
      <c r="BQ22" s="98">
        <f t="shared" si="22"/>
        <v>46.23412443874278</v>
      </c>
      <c r="BR22" s="60">
        <v>3118</v>
      </c>
      <c r="BS22" s="95">
        <f t="shared" si="23"/>
        <v>250000</v>
      </c>
      <c r="BT22" s="95">
        <v>2500</v>
      </c>
      <c r="BU22" s="65" t="s">
        <v>19</v>
      </c>
      <c r="BV22" s="66">
        <f t="shared" si="24"/>
        <v>7</v>
      </c>
    </row>
    <row r="23" spans="14:74" ht="38.25" customHeight="1" thickBot="1">
      <c r="N23" s="84"/>
      <c r="O23" s="85">
        <v>8</v>
      </c>
      <c r="P23" s="86"/>
      <c r="Q23" s="86"/>
      <c r="R23" s="86"/>
      <c r="S23" s="85">
        <f t="shared" si="0"/>
        <v>13754469.049999999</v>
      </c>
      <c r="T23" s="87">
        <v>93.35</v>
      </c>
      <c r="U23" s="87">
        <f t="shared" si="1"/>
        <v>12842415.879999999</v>
      </c>
      <c r="V23" s="87">
        <v>87.16</v>
      </c>
      <c r="W23" s="88">
        <f t="shared" si="13"/>
        <v>98.22866666666667</v>
      </c>
      <c r="X23" s="88">
        <f t="shared" si="14"/>
        <v>98.22866666666667</v>
      </c>
      <c r="Y23" s="89">
        <v>67867</v>
      </c>
      <c r="Z23" s="89">
        <v>11396</v>
      </c>
      <c r="AA23" s="90"/>
      <c r="AB23" s="90"/>
      <c r="AC23" s="91">
        <f t="shared" si="2"/>
        <v>4.004106776180698</v>
      </c>
      <c r="AD23" s="92">
        <v>5850</v>
      </c>
      <c r="AE23" s="177">
        <v>8</v>
      </c>
      <c r="AF23" s="93">
        <f t="shared" si="15"/>
        <v>2.195</v>
      </c>
      <c r="AG23" s="93">
        <f t="shared" si="3"/>
        <v>0</v>
      </c>
      <c r="AH23" s="93">
        <v>0</v>
      </c>
      <c r="AI23" s="93">
        <f t="shared" si="4"/>
        <v>2210.145</v>
      </c>
      <c r="AJ23" s="93">
        <v>0.015</v>
      </c>
      <c r="AK23" s="93">
        <f t="shared" si="5"/>
        <v>294686</v>
      </c>
      <c r="AL23" s="93">
        <v>2</v>
      </c>
      <c r="AM23" s="93">
        <f t="shared" si="25"/>
        <v>7367.150000000001</v>
      </c>
      <c r="AN23" s="93">
        <v>0.05</v>
      </c>
      <c r="AO23" s="93">
        <f t="shared" si="6"/>
        <v>19154.59</v>
      </c>
      <c r="AP23" s="93">
        <v>0.13</v>
      </c>
      <c r="AQ23" s="93">
        <f t="shared" si="26"/>
        <v>20082.9785</v>
      </c>
      <c r="AR23" s="94">
        <f t="shared" si="27"/>
        <v>7.998000199123855</v>
      </c>
      <c r="AS23" s="94">
        <f t="shared" si="7"/>
        <v>27774.155500000004</v>
      </c>
      <c r="AT23" s="94">
        <f t="shared" si="16"/>
        <v>86.05482172086202</v>
      </c>
      <c r="AU23" s="94">
        <f t="shared" si="8"/>
        <v>16.221333894382497</v>
      </c>
      <c r="AV23" s="94">
        <f t="shared" si="9"/>
        <v>16.359342915811087</v>
      </c>
      <c r="AW23" s="94"/>
      <c r="AX23" s="95">
        <f t="shared" si="17"/>
        <v>23901</v>
      </c>
      <c r="AY23" s="95">
        <v>0</v>
      </c>
      <c r="AZ23" s="95">
        <v>0</v>
      </c>
      <c r="BA23" s="95">
        <v>23901</v>
      </c>
      <c r="BB23" s="96">
        <f t="shared" si="18"/>
        <v>0.3000000000000007</v>
      </c>
      <c r="BC23" s="96">
        <f t="shared" si="10"/>
        <v>2733212.65</v>
      </c>
      <c r="BD23" s="96">
        <v>18.55</v>
      </c>
      <c r="BE23" s="96">
        <f t="shared" si="11"/>
        <v>2777415.5500000003</v>
      </c>
      <c r="BF23" s="96">
        <v>18.85</v>
      </c>
      <c r="BG23" s="87">
        <v>106</v>
      </c>
      <c r="BH23" s="59" t="s">
        <v>166</v>
      </c>
      <c r="BI23" s="59" t="s">
        <v>115</v>
      </c>
      <c r="BJ23" s="60">
        <f t="shared" si="19"/>
        <v>1378.301886792453</v>
      </c>
      <c r="BK23" s="97">
        <f t="shared" si="20"/>
        <v>0.8436098084062358</v>
      </c>
      <c r="BL23" s="60">
        <v>146100</v>
      </c>
      <c r="BM23" s="60">
        <f t="shared" si="21"/>
        <v>147343</v>
      </c>
      <c r="BN23" s="60">
        <v>40802</v>
      </c>
      <c r="BO23" s="60">
        <f t="shared" si="12"/>
        <v>20082.9785</v>
      </c>
      <c r="BP23" s="60">
        <v>106541</v>
      </c>
      <c r="BQ23" s="98">
        <f t="shared" si="22"/>
        <v>42.42970927917165</v>
      </c>
      <c r="BR23" s="60">
        <v>2511</v>
      </c>
      <c r="BS23" s="95">
        <f t="shared" si="23"/>
        <v>150000</v>
      </c>
      <c r="BT23" s="95">
        <v>1500</v>
      </c>
      <c r="BU23" s="65" t="s">
        <v>20</v>
      </c>
      <c r="BV23" s="66">
        <v>8</v>
      </c>
    </row>
    <row r="24" spans="14:74" ht="37.5" customHeight="1" thickBot="1">
      <c r="N24" s="84"/>
      <c r="O24" s="85">
        <v>9</v>
      </c>
      <c r="P24" s="86"/>
      <c r="Q24" s="86"/>
      <c r="R24" s="86"/>
      <c r="S24" s="85">
        <f t="shared" si="0"/>
        <v>9144404.51</v>
      </c>
      <c r="T24" s="87">
        <v>90.73</v>
      </c>
      <c r="U24" s="87">
        <f t="shared" si="1"/>
        <v>8849098.6</v>
      </c>
      <c r="V24" s="99">
        <v>87.8</v>
      </c>
      <c r="W24" s="88">
        <f t="shared" si="13"/>
        <v>91.62454545454545</v>
      </c>
      <c r="X24" s="88">
        <f t="shared" si="14"/>
        <v>91.62454545454545</v>
      </c>
      <c r="Y24" s="89">
        <v>2555</v>
      </c>
      <c r="Z24" s="89">
        <v>7083</v>
      </c>
      <c r="AA24" s="90"/>
      <c r="AB24" s="90"/>
      <c r="AC24" s="91">
        <f t="shared" si="2"/>
        <v>4.413173652694611</v>
      </c>
      <c r="AD24" s="92">
        <v>4422</v>
      </c>
      <c r="AE24" s="177">
        <v>9</v>
      </c>
      <c r="AF24" s="93">
        <f t="shared" si="15"/>
        <v>2.5309999999999997</v>
      </c>
      <c r="AG24" s="93">
        <f t="shared" si="3"/>
        <v>0</v>
      </c>
      <c r="AH24" s="93">
        <v>0</v>
      </c>
      <c r="AI24" s="93">
        <f t="shared" si="4"/>
        <v>17637.725</v>
      </c>
      <c r="AJ24" s="93">
        <v>0.175</v>
      </c>
      <c r="AK24" s="93">
        <f t="shared" si="5"/>
        <v>222336.122</v>
      </c>
      <c r="AL24" s="93">
        <v>2.206</v>
      </c>
      <c r="AM24" s="93">
        <f t="shared" si="25"/>
        <v>5039.35</v>
      </c>
      <c r="AN24" s="93">
        <v>0.05</v>
      </c>
      <c r="AO24" s="93">
        <f t="shared" si="6"/>
        <v>10078.7</v>
      </c>
      <c r="AP24" s="93">
        <v>0.1</v>
      </c>
      <c r="AQ24" s="93">
        <f t="shared" si="26"/>
        <v>16875.0172</v>
      </c>
      <c r="AR24" s="94">
        <f t="shared" si="27"/>
        <v>8.268014306712395</v>
      </c>
      <c r="AS24" s="94">
        <f t="shared" si="7"/>
        <v>17617.5676</v>
      </c>
      <c r="AT24" s="94">
        <f t="shared" si="16"/>
        <v>84.37033044221155</v>
      </c>
      <c r="AU24" s="94">
        <f t="shared" si="8"/>
        <v>14.74793376129858</v>
      </c>
      <c r="AV24" s="94">
        <f t="shared" si="9"/>
        <v>14.834331337325349</v>
      </c>
      <c r="AW24" s="94"/>
      <c r="AX24" s="95">
        <f t="shared" si="17"/>
        <v>14864</v>
      </c>
      <c r="AY24" s="95">
        <v>67</v>
      </c>
      <c r="AZ24" s="95">
        <v>0</v>
      </c>
      <c r="BA24" s="95">
        <v>14797</v>
      </c>
      <c r="BB24" s="96">
        <f t="shared" si="18"/>
        <v>0.11599999999999966</v>
      </c>
      <c r="BC24" s="96">
        <f t="shared" si="10"/>
        <v>1750065.468</v>
      </c>
      <c r="BD24" s="100">
        <v>17.364</v>
      </c>
      <c r="BE24" s="96">
        <f t="shared" si="11"/>
        <v>1761756.76</v>
      </c>
      <c r="BF24" s="96">
        <v>17.48</v>
      </c>
      <c r="BG24" s="87">
        <v>89</v>
      </c>
      <c r="BH24" s="59" t="s">
        <v>156</v>
      </c>
      <c r="BI24" s="59" t="s">
        <v>120</v>
      </c>
      <c r="BJ24" s="60">
        <f t="shared" si="19"/>
        <v>1125.8426966292134</v>
      </c>
      <c r="BK24" s="97">
        <f t="shared" si="20"/>
        <v>0.5824163830652763</v>
      </c>
      <c r="BL24" s="60">
        <v>100200</v>
      </c>
      <c r="BM24" s="60">
        <f t="shared" si="21"/>
        <v>100787</v>
      </c>
      <c r="BN24" s="60">
        <v>4248</v>
      </c>
      <c r="BO24" s="60">
        <f t="shared" si="12"/>
        <v>16875.0172</v>
      </c>
      <c r="BP24" s="60">
        <v>96539</v>
      </c>
      <c r="BQ24" s="98">
        <f t="shared" si="22"/>
        <v>47.29985301322881</v>
      </c>
      <c r="BR24" s="60">
        <v>2041</v>
      </c>
      <c r="BS24" s="95">
        <f t="shared" si="23"/>
        <v>110000</v>
      </c>
      <c r="BT24" s="95">
        <v>1100</v>
      </c>
      <c r="BU24" s="67" t="s">
        <v>21</v>
      </c>
      <c r="BV24" s="66">
        <f t="shared" si="24"/>
        <v>9</v>
      </c>
    </row>
    <row r="25" spans="14:74" ht="37.5" customHeight="1" thickBot="1">
      <c r="N25" s="84"/>
      <c r="O25" s="85">
        <v>10</v>
      </c>
      <c r="P25" s="86"/>
      <c r="Q25" s="86"/>
      <c r="R25" s="86"/>
      <c r="S25" s="85">
        <f t="shared" si="0"/>
        <v>49792823.8</v>
      </c>
      <c r="T25" s="87">
        <v>92.11</v>
      </c>
      <c r="U25" s="87">
        <f t="shared" si="1"/>
        <v>48106214.199999996</v>
      </c>
      <c r="V25" s="87">
        <v>88.99</v>
      </c>
      <c r="W25" s="88">
        <f t="shared" si="13"/>
        <v>154.45142857142858</v>
      </c>
      <c r="X25" s="88">
        <f t="shared" si="14"/>
        <v>154.45142857142858</v>
      </c>
      <c r="Y25" s="89">
        <v>15550</v>
      </c>
      <c r="Z25" s="89">
        <v>24900</v>
      </c>
      <c r="AA25" s="90"/>
      <c r="AB25" s="90"/>
      <c r="AC25" s="91">
        <f t="shared" si="2"/>
        <v>4.899936526901392</v>
      </c>
      <c r="AD25" s="92">
        <v>26247</v>
      </c>
      <c r="AE25" s="177">
        <v>10</v>
      </c>
      <c r="AF25" s="93">
        <f t="shared" si="15"/>
        <v>1.975</v>
      </c>
      <c r="AG25" s="93">
        <f t="shared" si="3"/>
        <v>0</v>
      </c>
      <c r="AH25" s="93">
        <v>0</v>
      </c>
      <c r="AI25" s="93">
        <f t="shared" si="4"/>
        <v>26488.420000000002</v>
      </c>
      <c r="AJ25" s="93">
        <v>0.049</v>
      </c>
      <c r="AK25" s="93">
        <f t="shared" si="5"/>
        <v>797896.08</v>
      </c>
      <c r="AL25" s="93">
        <v>1.476</v>
      </c>
      <c r="AM25" s="93">
        <f t="shared" si="25"/>
        <v>59463.8</v>
      </c>
      <c r="AN25" s="93">
        <v>0.11</v>
      </c>
      <c r="AO25" s="93">
        <f t="shared" si="6"/>
        <v>183797.2</v>
      </c>
      <c r="AP25" s="93">
        <v>0.34</v>
      </c>
      <c r="AQ25" s="93">
        <f t="shared" si="26"/>
        <v>65609.5</v>
      </c>
      <c r="AR25" s="94">
        <f t="shared" si="27"/>
        <v>10.934916666666666</v>
      </c>
      <c r="AS25" s="94">
        <f t="shared" si="7"/>
        <v>89790.33799999999</v>
      </c>
      <c r="AT25" s="94">
        <f t="shared" si="16"/>
        <v>88.10970285021091</v>
      </c>
      <c r="AU25" s="94">
        <f t="shared" si="8"/>
        <v>14.635021643420028</v>
      </c>
      <c r="AV25" s="94">
        <f t="shared" si="9"/>
        <v>14.769443303588098</v>
      </c>
      <c r="AW25" s="94"/>
      <c r="AX25" s="95">
        <f t="shared" si="17"/>
        <v>79114</v>
      </c>
      <c r="AY25" s="95">
        <v>35</v>
      </c>
      <c r="AZ25" s="95">
        <v>0</v>
      </c>
      <c r="BA25" s="95">
        <v>79079</v>
      </c>
      <c r="BB25" s="96">
        <f t="shared" si="18"/>
        <v>0.16000000000000014</v>
      </c>
      <c r="BC25" s="96">
        <f t="shared" si="10"/>
        <v>8892541</v>
      </c>
      <c r="BD25" s="96">
        <v>16.45</v>
      </c>
      <c r="BE25" s="96">
        <f t="shared" si="11"/>
        <v>8979033.799999999</v>
      </c>
      <c r="BF25" s="96">
        <v>16.61</v>
      </c>
      <c r="BG25" s="87">
        <v>149</v>
      </c>
      <c r="BH25" s="59" t="s">
        <v>150</v>
      </c>
      <c r="BI25" s="59" t="s">
        <v>149</v>
      </c>
      <c r="BJ25" s="60">
        <f t="shared" si="19"/>
        <v>3595.0335570469797</v>
      </c>
      <c r="BK25" s="97">
        <f t="shared" si="20"/>
        <v>0.9101335602501018</v>
      </c>
      <c r="BL25" s="60">
        <v>535660</v>
      </c>
      <c r="BM25" s="60">
        <f t="shared" si="21"/>
        <v>540580</v>
      </c>
      <c r="BN25" s="60">
        <v>145580</v>
      </c>
      <c r="BO25" s="60">
        <f t="shared" si="12"/>
        <v>65609.5</v>
      </c>
      <c r="BP25" s="60">
        <v>395000</v>
      </c>
      <c r="BQ25" s="98">
        <f t="shared" si="22"/>
        <v>65.83333333333333</v>
      </c>
      <c r="BR25" s="60">
        <v>6000</v>
      </c>
      <c r="BS25" s="95">
        <f t="shared" si="23"/>
        <v>350000</v>
      </c>
      <c r="BT25" s="95">
        <v>3500</v>
      </c>
      <c r="BU25" s="68" t="s">
        <v>22</v>
      </c>
      <c r="BV25" s="66">
        <f t="shared" si="24"/>
        <v>10</v>
      </c>
    </row>
    <row r="26" spans="14:74" ht="37.5" customHeight="1" thickBot="1">
      <c r="N26" s="84"/>
      <c r="O26" s="85">
        <v>11</v>
      </c>
      <c r="P26" s="86"/>
      <c r="Q26" s="86"/>
      <c r="R26" s="86"/>
      <c r="S26" s="85">
        <f t="shared" si="0"/>
        <v>41552324.8</v>
      </c>
      <c r="T26" s="87">
        <v>91.6</v>
      </c>
      <c r="U26" s="87">
        <f t="shared" si="1"/>
        <v>40223194.76</v>
      </c>
      <c r="V26" s="87">
        <v>88.67</v>
      </c>
      <c r="W26" s="88">
        <f t="shared" si="13"/>
        <v>151.20933333333332</v>
      </c>
      <c r="X26" s="88">
        <f t="shared" si="14"/>
        <v>151.20933333333332</v>
      </c>
      <c r="Y26" s="89">
        <v>15190</v>
      </c>
      <c r="Z26" s="89">
        <v>31110</v>
      </c>
      <c r="AA26" s="90"/>
      <c r="AB26" s="90"/>
      <c r="AC26" s="91">
        <f t="shared" si="2"/>
        <v>3.5655455655455657</v>
      </c>
      <c r="AD26" s="92">
        <v>16061</v>
      </c>
      <c r="AE26" s="177">
        <v>11</v>
      </c>
      <c r="AF26" s="93">
        <f t="shared" si="15"/>
        <v>2.279</v>
      </c>
      <c r="AG26" s="93">
        <f t="shared" si="3"/>
        <v>0</v>
      </c>
      <c r="AH26" s="93">
        <v>0</v>
      </c>
      <c r="AI26" s="93">
        <f t="shared" si="4"/>
        <v>26764.052</v>
      </c>
      <c r="AJ26" s="93">
        <v>0.059</v>
      </c>
      <c r="AK26" s="93">
        <f t="shared" si="5"/>
        <v>808818.7239999999</v>
      </c>
      <c r="AL26" s="93">
        <v>1.783</v>
      </c>
      <c r="AM26" s="93">
        <f t="shared" si="25"/>
        <v>20413.26</v>
      </c>
      <c r="AN26" s="93">
        <v>0.045</v>
      </c>
      <c r="AO26" s="93">
        <f t="shared" si="6"/>
        <v>177822.176</v>
      </c>
      <c r="AP26" s="93">
        <v>0.392</v>
      </c>
      <c r="AQ26" s="93">
        <f t="shared" si="26"/>
        <v>52295.9262</v>
      </c>
      <c r="AR26" s="94">
        <f t="shared" si="27"/>
        <v>10.1094</v>
      </c>
      <c r="AS26" s="94">
        <f t="shared" si="7"/>
        <v>79067.3604</v>
      </c>
      <c r="AT26" s="94">
        <f t="shared" si="16"/>
        <v>85.49798508260305</v>
      </c>
      <c r="AU26" s="94">
        <f t="shared" si="8"/>
        <v>14.902298799897714</v>
      </c>
      <c r="AV26" s="94">
        <f t="shared" si="9"/>
        <v>15.007437007437009</v>
      </c>
      <c r="AW26" s="94"/>
      <c r="AX26" s="95">
        <f t="shared" si="17"/>
        <v>67601</v>
      </c>
      <c r="AY26" s="95">
        <v>30</v>
      </c>
      <c r="AZ26" s="95">
        <v>0</v>
      </c>
      <c r="BA26" s="95">
        <v>67571</v>
      </c>
      <c r="BB26" s="96">
        <f t="shared" si="18"/>
        <v>0.10999999999999943</v>
      </c>
      <c r="BC26" s="96">
        <f t="shared" si="10"/>
        <v>7856836.96</v>
      </c>
      <c r="BD26" s="96">
        <v>17.32</v>
      </c>
      <c r="BE26" s="96">
        <f t="shared" si="11"/>
        <v>7906736.04</v>
      </c>
      <c r="BF26" s="96">
        <v>17.43</v>
      </c>
      <c r="BG26" s="87">
        <v>150</v>
      </c>
      <c r="BH26" s="59" t="s">
        <v>108</v>
      </c>
      <c r="BI26" s="59" t="s">
        <v>114</v>
      </c>
      <c r="BJ26" s="60">
        <f t="shared" si="19"/>
        <v>3003</v>
      </c>
      <c r="BK26" s="97">
        <f t="shared" si="20"/>
        <v>0.7005740386395901</v>
      </c>
      <c r="BL26" s="60">
        <v>450450</v>
      </c>
      <c r="BM26" s="60">
        <f t="shared" si="21"/>
        <v>453628</v>
      </c>
      <c r="BN26" s="60">
        <v>153594</v>
      </c>
      <c r="BO26" s="60">
        <f t="shared" si="12"/>
        <v>52295.9262</v>
      </c>
      <c r="BP26" s="60">
        <v>300034</v>
      </c>
      <c r="BQ26" s="98">
        <f t="shared" si="22"/>
        <v>58</v>
      </c>
      <c r="BR26" s="60">
        <v>5173</v>
      </c>
      <c r="BS26" s="95">
        <f t="shared" si="23"/>
        <v>300000</v>
      </c>
      <c r="BT26" s="95">
        <v>3000</v>
      </c>
      <c r="BU26" s="68" t="s">
        <v>23</v>
      </c>
      <c r="BV26" s="66">
        <f t="shared" si="24"/>
        <v>11</v>
      </c>
    </row>
    <row r="27" spans="14:74" ht="39" customHeight="1" thickBot="1">
      <c r="N27" s="84"/>
      <c r="O27" s="85">
        <v>12</v>
      </c>
      <c r="P27" s="86"/>
      <c r="Q27" s="86"/>
      <c r="R27" s="86"/>
      <c r="S27" s="85">
        <f t="shared" si="0"/>
        <v>42525114.94</v>
      </c>
      <c r="T27" s="87">
        <v>90.86</v>
      </c>
      <c r="U27" s="87">
        <f t="shared" si="1"/>
        <v>41050823.589999996</v>
      </c>
      <c r="V27" s="87">
        <v>87.71</v>
      </c>
      <c r="W27" s="88">
        <f t="shared" si="13"/>
        <v>133.72257142857143</v>
      </c>
      <c r="X27" s="88">
        <f t="shared" si="14"/>
        <v>133.72257142857143</v>
      </c>
      <c r="Y27" s="89">
        <v>65515</v>
      </c>
      <c r="Z27" s="89">
        <v>21361</v>
      </c>
      <c r="AA27" s="90"/>
      <c r="AB27" s="90"/>
      <c r="AC27" s="91">
        <f t="shared" si="2"/>
        <v>4.3347522751998895</v>
      </c>
      <c r="AD27" s="92">
        <v>20081</v>
      </c>
      <c r="AE27" s="177">
        <v>12</v>
      </c>
      <c r="AF27" s="93">
        <f t="shared" si="15"/>
        <v>2.5309999999999997</v>
      </c>
      <c r="AG27" s="93">
        <f t="shared" si="3"/>
        <v>0</v>
      </c>
      <c r="AH27" s="93">
        <v>0</v>
      </c>
      <c r="AI27" s="93">
        <f t="shared" si="4"/>
        <v>49611.074</v>
      </c>
      <c r="AJ27" s="93">
        <v>0.106</v>
      </c>
      <c r="AK27" s="93">
        <f t="shared" si="5"/>
        <v>1014218.8429999999</v>
      </c>
      <c r="AL27" s="93">
        <v>2.167</v>
      </c>
      <c r="AM27" s="93">
        <f t="shared" si="25"/>
        <v>22465.392</v>
      </c>
      <c r="AN27" s="93">
        <v>0.048</v>
      </c>
      <c r="AO27" s="93">
        <f t="shared" si="6"/>
        <v>98286.09</v>
      </c>
      <c r="AP27" s="93">
        <v>0.21</v>
      </c>
      <c r="AQ27" s="93">
        <f t="shared" si="26"/>
        <v>55420</v>
      </c>
      <c r="AR27" s="94">
        <f t="shared" si="27"/>
        <v>6.9623115577889445</v>
      </c>
      <c r="AS27" s="94">
        <f t="shared" si="7"/>
        <v>76288.727</v>
      </c>
      <c r="AT27" s="94">
        <f t="shared" si="16"/>
        <v>82.08814390099863</v>
      </c>
      <c r="AU27" s="94">
        <f t="shared" si="8"/>
        <v>13.380367455862777</v>
      </c>
      <c r="AV27" s="94">
        <f t="shared" si="9"/>
        <v>13.51822750271988</v>
      </c>
      <c r="AW27" s="94"/>
      <c r="AX27" s="95">
        <f t="shared" si="17"/>
        <v>62624</v>
      </c>
      <c r="AY27" s="95">
        <v>57</v>
      </c>
      <c r="AZ27" s="95">
        <v>0</v>
      </c>
      <c r="BA27" s="95">
        <v>62567</v>
      </c>
      <c r="BB27" s="96">
        <f t="shared" si="18"/>
        <v>0.23000000000000043</v>
      </c>
      <c r="BC27" s="96">
        <f t="shared" si="10"/>
        <v>7521226.03</v>
      </c>
      <c r="BD27" s="96">
        <v>16.07</v>
      </c>
      <c r="BE27" s="96">
        <f t="shared" si="11"/>
        <v>7628872.7</v>
      </c>
      <c r="BF27" s="96">
        <v>16.3</v>
      </c>
      <c r="BG27" s="87">
        <v>150</v>
      </c>
      <c r="BH27" s="59" t="s">
        <v>155</v>
      </c>
      <c r="BI27" s="59" t="s">
        <v>154</v>
      </c>
      <c r="BJ27" s="60">
        <f t="shared" si="19"/>
        <v>3088.3733333333334</v>
      </c>
      <c r="BK27" s="97">
        <f t="shared" si="20"/>
        <v>1.0198086016037469</v>
      </c>
      <c r="BL27" s="60">
        <v>463256</v>
      </c>
      <c r="BM27" s="60">
        <f t="shared" si="21"/>
        <v>468029</v>
      </c>
      <c r="BN27" s="60">
        <v>128029</v>
      </c>
      <c r="BO27" s="60">
        <f t="shared" si="12"/>
        <v>55420</v>
      </c>
      <c r="BP27" s="60">
        <v>340000</v>
      </c>
      <c r="BQ27" s="98">
        <f t="shared" si="22"/>
        <v>42.71356783919598</v>
      </c>
      <c r="BR27" s="60">
        <v>7960</v>
      </c>
      <c r="BS27" s="95">
        <f t="shared" si="23"/>
        <v>350000</v>
      </c>
      <c r="BT27" s="95">
        <v>3500</v>
      </c>
      <c r="BU27" s="68" t="s">
        <v>24</v>
      </c>
      <c r="BV27" s="66">
        <f t="shared" si="24"/>
        <v>12</v>
      </c>
    </row>
    <row r="28" spans="14:74" ht="38.25" customHeight="1" thickBot="1">
      <c r="N28" s="84"/>
      <c r="O28" s="85">
        <v>13</v>
      </c>
      <c r="P28" s="86"/>
      <c r="Q28" s="86"/>
      <c r="R28" s="86"/>
      <c r="S28" s="85">
        <f t="shared" si="0"/>
        <v>30020175.78</v>
      </c>
      <c r="T28" s="87">
        <v>90.93</v>
      </c>
      <c r="U28" s="87">
        <f t="shared" si="1"/>
        <v>28877870.62</v>
      </c>
      <c r="V28" s="87">
        <v>87.47</v>
      </c>
      <c r="W28" s="88">
        <f t="shared" si="13"/>
        <v>183.41444444444443</v>
      </c>
      <c r="X28" s="88">
        <f t="shared" si="14"/>
        <v>183.41444444444443</v>
      </c>
      <c r="Y28" s="89">
        <v>31556</v>
      </c>
      <c r="Z28" s="89">
        <v>16500</v>
      </c>
      <c r="AA28" s="90"/>
      <c r="AB28" s="90"/>
      <c r="AC28" s="91">
        <f t="shared" si="2"/>
        <v>3.965228000610035</v>
      </c>
      <c r="AD28" s="92">
        <v>13000</v>
      </c>
      <c r="AE28" s="177">
        <v>13</v>
      </c>
      <c r="AF28" s="93">
        <f t="shared" si="15"/>
        <v>1.951</v>
      </c>
      <c r="AG28" s="93">
        <f t="shared" si="3"/>
        <v>0</v>
      </c>
      <c r="AH28" s="93">
        <v>0</v>
      </c>
      <c r="AI28" s="93">
        <f t="shared" si="4"/>
        <v>95742.34</v>
      </c>
      <c r="AJ28" s="93">
        <v>0.29</v>
      </c>
      <c r="AK28" s="93">
        <f t="shared" si="5"/>
        <v>387261.25800000003</v>
      </c>
      <c r="AL28" s="93">
        <v>1.173</v>
      </c>
      <c r="AM28" s="93">
        <f t="shared" si="25"/>
        <v>29052.847999999998</v>
      </c>
      <c r="AN28" s="93">
        <v>0.088</v>
      </c>
      <c r="AO28" s="93">
        <f t="shared" si="6"/>
        <v>132058.4</v>
      </c>
      <c r="AP28" s="93">
        <v>0.4</v>
      </c>
      <c r="AQ28" s="93">
        <f t="shared" si="26"/>
        <v>45170.84</v>
      </c>
      <c r="AR28" s="94">
        <f t="shared" si="27"/>
        <v>8.1067552045944</v>
      </c>
      <c r="AS28" s="94">
        <f t="shared" si="7"/>
        <v>54110.9294</v>
      </c>
      <c r="AT28" s="94">
        <f t="shared" si="16"/>
        <v>86.27277431313163</v>
      </c>
      <c r="AU28" s="94">
        <f t="shared" si="8"/>
        <v>14.140107709922276</v>
      </c>
      <c r="AV28" s="94">
        <f t="shared" si="9"/>
        <v>14.239133750190636</v>
      </c>
      <c r="AW28" s="94"/>
      <c r="AX28" s="95">
        <f t="shared" si="17"/>
        <v>46683</v>
      </c>
      <c r="AY28" s="95">
        <v>0</v>
      </c>
      <c r="AZ28" s="95">
        <v>0</v>
      </c>
      <c r="BA28" s="95">
        <v>46683</v>
      </c>
      <c r="BB28" s="96">
        <f t="shared" si="18"/>
        <v>0.1999999999999993</v>
      </c>
      <c r="BC28" s="96">
        <f t="shared" si="10"/>
        <v>5345063.74</v>
      </c>
      <c r="BD28" s="96">
        <v>16.19</v>
      </c>
      <c r="BE28" s="96">
        <f t="shared" si="11"/>
        <v>5411092.94</v>
      </c>
      <c r="BF28" s="96">
        <v>16.39</v>
      </c>
      <c r="BG28" s="87">
        <v>153</v>
      </c>
      <c r="BH28" s="59" t="s">
        <v>161</v>
      </c>
      <c r="BI28" s="59" t="s">
        <v>159</v>
      </c>
      <c r="BJ28" s="60">
        <f t="shared" si="19"/>
        <v>2142.8104575163397</v>
      </c>
      <c r="BK28" s="97">
        <f t="shared" si="20"/>
        <v>0.6954498918660229</v>
      </c>
      <c r="BL28" s="60">
        <v>327850</v>
      </c>
      <c r="BM28" s="60">
        <f t="shared" si="21"/>
        <v>330146</v>
      </c>
      <c r="BN28" s="60">
        <v>54546</v>
      </c>
      <c r="BO28" s="60">
        <f t="shared" si="12"/>
        <v>45170.84</v>
      </c>
      <c r="BP28" s="60">
        <v>275600</v>
      </c>
      <c r="BQ28" s="98">
        <f t="shared" si="22"/>
        <v>49.46159368269921</v>
      </c>
      <c r="BR28" s="60">
        <v>5572</v>
      </c>
      <c r="BS28" s="95">
        <f t="shared" si="23"/>
        <v>180000</v>
      </c>
      <c r="BT28" s="95">
        <v>1800</v>
      </c>
      <c r="BU28" s="68" t="s">
        <v>25</v>
      </c>
      <c r="BV28" s="66">
        <f t="shared" si="24"/>
        <v>13</v>
      </c>
    </row>
    <row r="29" spans="14:74" ht="39" customHeight="1" thickBot="1">
      <c r="N29" s="84"/>
      <c r="O29" s="85">
        <v>14</v>
      </c>
      <c r="P29" s="86"/>
      <c r="Q29" s="86"/>
      <c r="R29" s="86"/>
      <c r="S29" s="85">
        <f t="shared" si="0"/>
        <v>40806007.59</v>
      </c>
      <c r="T29" s="87">
        <v>92.53</v>
      </c>
      <c r="U29" s="87">
        <f t="shared" si="1"/>
        <v>39258087.059999995</v>
      </c>
      <c r="V29" s="87">
        <v>89.02</v>
      </c>
      <c r="W29" s="88">
        <f t="shared" si="13"/>
        <v>147.001</v>
      </c>
      <c r="X29" s="88">
        <f t="shared" si="14"/>
        <v>147.001</v>
      </c>
      <c r="Y29" s="89">
        <v>51072</v>
      </c>
      <c r="Z29" s="89">
        <v>13500</v>
      </c>
      <c r="AA29" s="90"/>
      <c r="AB29" s="90"/>
      <c r="AC29" s="91">
        <f t="shared" si="2"/>
        <v>4.166287223385848</v>
      </c>
      <c r="AD29" s="92">
        <v>18300</v>
      </c>
      <c r="AE29" s="177">
        <v>14</v>
      </c>
      <c r="AF29" s="93">
        <f t="shared" si="15"/>
        <v>2.3200000000000003</v>
      </c>
      <c r="AG29" s="93">
        <f t="shared" si="3"/>
        <v>0</v>
      </c>
      <c r="AH29" s="93">
        <v>0</v>
      </c>
      <c r="AI29" s="93">
        <f t="shared" si="4"/>
        <v>92610.62999999999</v>
      </c>
      <c r="AJ29" s="93">
        <v>0.21</v>
      </c>
      <c r="AK29" s="93">
        <f t="shared" si="5"/>
        <v>820265.5800000001</v>
      </c>
      <c r="AL29" s="93">
        <v>1.86</v>
      </c>
      <c r="AM29" s="93">
        <f t="shared" si="25"/>
        <v>13230.09</v>
      </c>
      <c r="AN29" s="93">
        <v>0.03</v>
      </c>
      <c r="AO29" s="93">
        <f t="shared" si="6"/>
        <v>97020.66</v>
      </c>
      <c r="AP29" s="93">
        <v>0.22</v>
      </c>
      <c r="AQ29" s="93">
        <f t="shared" si="26"/>
        <v>63207.29999999999</v>
      </c>
      <c r="AR29" s="94">
        <f t="shared" si="27"/>
        <v>11.088999999999999</v>
      </c>
      <c r="AS29" s="94">
        <f t="shared" si="7"/>
        <v>75235.1118</v>
      </c>
      <c r="AT29" s="94">
        <f t="shared" si="16"/>
        <v>86.40114760884823</v>
      </c>
      <c r="AU29" s="94">
        <f t="shared" si="8"/>
        <v>14.74003578206951</v>
      </c>
      <c r="AV29" s="94">
        <f t="shared" si="9"/>
        <v>14.799198615790912</v>
      </c>
      <c r="AW29" s="94"/>
      <c r="AX29" s="95">
        <f t="shared" si="17"/>
        <v>65004</v>
      </c>
      <c r="AY29" s="95">
        <v>115</v>
      </c>
      <c r="AZ29" s="95">
        <v>0</v>
      </c>
      <c r="BA29" s="95">
        <v>64889</v>
      </c>
      <c r="BB29" s="96">
        <f t="shared" si="18"/>
        <v>0.14999999999999858</v>
      </c>
      <c r="BC29" s="96">
        <f t="shared" si="10"/>
        <v>7457360.73</v>
      </c>
      <c r="BD29" s="96">
        <v>16.91</v>
      </c>
      <c r="BE29" s="96">
        <f t="shared" si="11"/>
        <v>7523511.18</v>
      </c>
      <c r="BF29" s="96">
        <v>17.06</v>
      </c>
      <c r="BG29" s="87">
        <v>150</v>
      </c>
      <c r="BH29" s="59" t="s">
        <v>163</v>
      </c>
      <c r="BI29" s="59" t="s">
        <v>162</v>
      </c>
      <c r="BJ29" s="60">
        <f t="shared" si="19"/>
        <v>2928.266666666667</v>
      </c>
      <c r="BK29" s="97">
        <f t="shared" si="20"/>
        <v>0.3997705231030174</v>
      </c>
      <c r="BL29" s="60">
        <v>439240</v>
      </c>
      <c r="BM29" s="60">
        <f t="shared" si="21"/>
        <v>441003</v>
      </c>
      <c r="BN29" s="60">
        <v>70503</v>
      </c>
      <c r="BO29" s="60">
        <f t="shared" si="12"/>
        <v>63207.29999999999</v>
      </c>
      <c r="BP29" s="60">
        <v>370500</v>
      </c>
      <c r="BQ29" s="98">
        <f t="shared" si="22"/>
        <v>65</v>
      </c>
      <c r="BR29" s="60">
        <v>5700</v>
      </c>
      <c r="BS29" s="95">
        <f t="shared" si="23"/>
        <v>300000</v>
      </c>
      <c r="BT29" s="95">
        <v>3000</v>
      </c>
      <c r="BU29" s="68" t="s">
        <v>26</v>
      </c>
      <c r="BV29" s="66">
        <f t="shared" si="24"/>
        <v>14</v>
      </c>
    </row>
    <row r="30" spans="14:74" ht="39.75" customHeight="1" thickBot="1">
      <c r="N30" s="84"/>
      <c r="O30" s="85">
        <v>15</v>
      </c>
      <c r="P30" s="86"/>
      <c r="Q30" s="86"/>
      <c r="R30" s="86"/>
      <c r="S30" s="85">
        <f t="shared" si="0"/>
        <v>15623703.34</v>
      </c>
      <c r="T30" s="87">
        <v>92.39</v>
      </c>
      <c r="U30" s="87">
        <f t="shared" si="1"/>
        <v>15221231.06</v>
      </c>
      <c r="V30" s="87">
        <v>90.01</v>
      </c>
      <c r="W30" s="88">
        <f t="shared" si="13"/>
        <v>112.73733333333334</v>
      </c>
      <c r="X30" s="88">
        <f t="shared" si="14"/>
        <v>112.73733333333334</v>
      </c>
      <c r="Y30" s="89">
        <v>7991</v>
      </c>
      <c r="Z30" s="89">
        <v>9500</v>
      </c>
      <c r="AA30" s="90"/>
      <c r="AB30" s="90"/>
      <c r="AC30" s="91">
        <f t="shared" si="2"/>
        <v>2.259940765763087</v>
      </c>
      <c r="AD30" s="92">
        <v>3800</v>
      </c>
      <c r="AE30" s="177">
        <v>15</v>
      </c>
      <c r="AF30" s="93">
        <f t="shared" si="15"/>
        <v>1.948</v>
      </c>
      <c r="AG30" s="93">
        <f t="shared" si="3"/>
        <v>0</v>
      </c>
      <c r="AH30" s="93">
        <v>0</v>
      </c>
      <c r="AI30" s="93">
        <f t="shared" si="4"/>
        <v>338.212</v>
      </c>
      <c r="AJ30" s="93">
        <v>0.002</v>
      </c>
      <c r="AK30" s="93">
        <f t="shared" si="5"/>
        <v>223219.92</v>
      </c>
      <c r="AL30" s="93">
        <v>1.32</v>
      </c>
      <c r="AM30" s="93">
        <f t="shared" si="25"/>
        <v>44982.196</v>
      </c>
      <c r="AN30" s="93">
        <v>0.266</v>
      </c>
      <c r="AO30" s="93">
        <f t="shared" si="6"/>
        <v>60878.159999999996</v>
      </c>
      <c r="AP30" s="93">
        <v>0.36</v>
      </c>
      <c r="AQ30" s="93">
        <f t="shared" si="26"/>
        <v>20340.8978</v>
      </c>
      <c r="AR30" s="94">
        <f t="shared" si="27"/>
        <v>7.21820361958836</v>
      </c>
      <c r="AS30" s="94">
        <f t="shared" si="7"/>
        <v>27276.797799999997</v>
      </c>
      <c r="AT30" s="94">
        <f t="shared" si="16"/>
        <v>86.49842321300633</v>
      </c>
      <c r="AU30" s="94">
        <f t="shared" si="8"/>
        <v>13.952195664257921</v>
      </c>
      <c r="AV30" s="94">
        <f t="shared" si="9"/>
        <v>14.031853270372178</v>
      </c>
      <c r="AW30" s="94"/>
      <c r="AX30" s="95">
        <f t="shared" si="17"/>
        <v>23594</v>
      </c>
      <c r="AY30" s="95">
        <v>0</v>
      </c>
      <c r="AZ30" s="95">
        <v>0</v>
      </c>
      <c r="BA30" s="95">
        <v>23594</v>
      </c>
      <c r="BB30" s="96">
        <f t="shared" si="18"/>
        <v>0.14999999999999858</v>
      </c>
      <c r="BC30" s="96">
        <f t="shared" si="10"/>
        <v>2702313.88</v>
      </c>
      <c r="BD30" s="96">
        <v>15.98</v>
      </c>
      <c r="BE30" s="96">
        <f t="shared" si="11"/>
        <v>2727679.78</v>
      </c>
      <c r="BF30" s="96">
        <v>16.13</v>
      </c>
      <c r="BG30" s="87">
        <v>139</v>
      </c>
      <c r="BH30" s="59" t="s">
        <v>160</v>
      </c>
      <c r="BI30" s="59" t="s">
        <v>159</v>
      </c>
      <c r="BJ30" s="60">
        <f t="shared" si="19"/>
        <v>1209.68345323741</v>
      </c>
      <c r="BK30" s="97">
        <f t="shared" si="20"/>
        <v>0.5676912705640249</v>
      </c>
      <c r="BL30" s="60">
        <v>168146</v>
      </c>
      <c r="BM30" s="60">
        <f t="shared" si="21"/>
        <v>169106</v>
      </c>
      <c r="BN30" s="60">
        <v>43000</v>
      </c>
      <c r="BO30" s="60">
        <f t="shared" si="12"/>
        <v>20340.8978</v>
      </c>
      <c r="BP30" s="60">
        <v>126106</v>
      </c>
      <c r="BQ30" s="98">
        <f t="shared" si="22"/>
        <v>44.75017743080199</v>
      </c>
      <c r="BR30" s="60">
        <v>2818</v>
      </c>
      <c r="BS30" s="95">
        <f t="shared" si="23"/>
        <v>150000</v>
      </c>
      <c r="BT30" s="95">
        <v>1500</v>
      </c>
      <c r="BU30" s="69" t="s">
        <v>36</v>
      </c>
      <c r="BV30" s="66">
        <f t="shared" si="24"/>
        <v>15</v>
      </c>
    </row>
    <row r="31" spans="14:74" ht="42" customHeight="1" thickBot="1">
      <c r="N31" s="84"/>
      <c r="O31" s="85">
        <v>15</v>
      </c>
      <c r="P31" s="86"/>
      <c r="Q31" s="86"/>
      <c r="R31" s="86"/>
      <c r="S31" s="85">
        <f t="shared" si="0"/>
        <v>6579377.35</v>
      </c>
      <c r="T31" s="87">
        <v>91.91</v>
      </c>
      <c r="U31" s="87">
        <f t="shared" si="1"/>
        <v>6368917.45</v>
      </c>
      <c r="V31" s="87">
        <v>88.97</v>
      </c>
      <c r="W31" s="88"/>
      <c r="X31" s="88"/>
      <c r="Y31" s="89">
        <v>1845</v>
      </c>
      <c r="Z31" s="89">
        <v>4350</v>
      </c>
      <c r="AA31" s="90"/>
      <c r="AB31" s="90"/>
      <c r="AC31" s="91">
        <f t="shared" si="2"/>
        <v>1.8269717240991623</v>
      </c>
      <c r="AD31" s="92">
        <v>1300</v>
      </c>
      <c r="AE31" s="177">
        <v>15</v>
      </c>
      <c r="AF31" s="93">
        <f t="shared" si="15"/>
        <v>1.914</v>
      </c>
      <c r="AG31" s="93">
        <f t="shared" si="3"/>
        <v>0</v>
      </c>
      <c r="AH31" s="93">
        <v>0</v>
      </c>
      <c r="AI31" s="93">
        <f t="shared" si="4"/>
        <v>286.34000000000003</v>
      </c>
      <c r="AJ31" s="93">
        <v>0.004</v>
      </c>
      <c r="AK31" s="93">
        <f t="shared" si="5"/>
        <v>100219</v>
      </c>
      <c r="AL31" s="93">
        <v>1.4</v>
      </c>
      <c r="AM31" s="93">
        <f t="shared" si="25"/>
        <v>14317</v>
      </c>
      <c r="AN31" s="93">
        <v>0.2</v>
      </c>
      <c r="AO31" s="93">
        <f t="shared" si="6"/>
        <v>22191.35</v>
      </c>
      <c r="AP31" s="93">
        <v>0.31</v>
      </c>
      <c r="AQ31" s="93">
        <f t="shared" si="26"/>
        <v>9613.8655</v>
      </c>
      <c r="AR31" s="94">
        <f t="shared" si="27"/>
        <v>9.6138655</v>
      </c>
      <c r="AS31" s="94">
        <f t="shared" si="7"/>
        <v>9613.8655</v>
      </c>
      <c r="AT31" s="94">
        <f t="shared" si="16"/>
        <v>85.01263097554256</v>
      </c>
      <c r="AU31" s="94">
        <f t="shared" si="8"/>
        <v>11.417196340015366</v>
      </c>
      <c r="AV31" s="94">
        <f t="shared" si="9"/>
        <v>11.486030693124965</v>
      </c>
      <c r="AW31" s="94"/>
      <c r="AX31" s="95">
        <f t="shared" si="17"/>
        <v>8173</v>
      </c>
      <c r="AY31" s="95">
        <v>0</v>
      </c>
      <c r="AZ31" s="95">
        <v>0</v>
      </c>
      <c r="BA31" s="95">
        <v>8173</v>
      </c>
      <c r="BB31" s="96">
        <f t="shared" si="18"/>
        <v>0.02999999999999936</v>
      </c>
      <c r="BC31" s="96">
        <f t="shared" si="10"/>
        <v>959239</v>
      </c>
      <c r="BD31" s="96">
        <v>13.4</v>
      </c>
      <c r="BE31" s="96">
        <f t="shared" si="11"/>
        <v>961386.5499999999</v>
      </c>
      <c r="BF31" s="96">
        <v>13.43</v>
      </c>
      <c r="BG31" s="87">
        <v>67</v>
      </c>
      <c r="BH31" s="59" t="s">
        <v>135</v>
      </c>
      <c r="BI31" s="59" t="s">
        <v>134</v>
      </c>
      <c r="BJ31" s="60">
        <f t="shared" si="19"/>
        <v>1062.0298507462687</v>
      </c>
      <c r="BK31" s="97">
        <f t="shared" si="20"/>
        <v>0.5992875602430676</v>
      </c>
      <c r="BL31" s="60">
        <v>71156</v>
      </c>
      <c r="BM31" s="60">
        <f t="shared" si="21"/>
        <v>71585</v>
      </c>
      <c r="BN31" s="60">
        <v>0</v>
      </c>
      <c r="BO31" s="60">
        <f t="shared" si="12"/>
        <v>9613.8655</v>
      </c>
      <c r="BP31" s="60">
        <v>71585</v>
      </c>
      <c r="BQ31" s="98">
        <f t="shared" si="22"/>
        <v>71.585</v>
      </c>
      <c r="BR31" s="60">
        <v>1000</v>
      </c>
      <c r="BS31" s="95">
        <f t="shared" si="23"/>
        <v>0</v>
      </c>
      <c r="BT31" s="95"/>
      <c r="BU31" s="69" t="s">
        <v>27</v>
      </c>
      <c r="BV31" s="66">
        <v>15</v>
      </c>
    </row>
    <row r="32" spans="14:74" ht="43.5" customHeight="1" thickBot="1">
      <c r="N32" s="84"/>
      <c r="O32" s="85">
        <v>16</v>
      </c>
      <c r="P32" s="86"/>
      <c r="Q32" s="86"/>
      <c r="R32" s="86"/>
      <c r="S32" s="85">
        <f t="shared" si="0"/>
        <v>27182151.87</v>
      </c>
      <c r="T32" s="87">
        <v>89.93</v>
      </c>
      <c r="U32" s="87">
        <f t="shared" si="1"/>
        <v>26719695.6</v>
      </c>
      <c r="V32" s="87">
        <v>88.4</v>
      </c>
      <c r="W32" s="88">
        <f t="shared" si="13"/>
        <v>137.39045454545456</v>
      </c>
      <c r="X32" s="88">
        <f t="shared" si="14"/>
        <v>137.39045454545456</v>
      </c>
      <c r="Y32" s="89">
        <v>2735</v>
      </c>
      <c r="Z32" s="89">
        <v>19200</v>
      </c>
      <c r="AA32" s="90"/>
      <c r="AB32" s="90"/>
      <c r="AC32" s="91">
        <f t="shared" si="2"/>
        <v>5.919933277731443</v>
      </c>
      <c r="AD32" s="92">
        <v>17745</v>
      </c>
      <c r="AE32" s="177">
        <v>16</v>
      </c>
      <c r="AF32" s="93">
        <f t="shared" si="15"/>
        <v>3.4</v>
      </c>
      <c r="AG32" s="93">
        <f t="shared" si="3"/>
        <v>0</v>
      </c>
      <c r="AH32" s="93">
        <v>0</v>
      </c>
      <c r="AI32" s="93">
        <f t="shared" si="4"/>
        <v>6045.18</v>
      </c>
      <c r="AJ32" s="93">
        <v>0.02</v>
      </c>
      <c r="AK32" s="93">
        <f t="shared" si="5"/>
        <v>894686.64</v>
      </c>
      <c r="AL32" s="93">
        <v>2.96</v>
      </c>
      <c r="AM32" s="93">
        <f t="shared" si="25"/>
        <v>6045.18</v>
      </c>
      <c r="AN32" s="93">
        <v>0.02</v>
      </c>
      <c r="AO32" s="93">
        <f t="shared" si="6"/>
        <v>120903.6</v>
      </c>
      <c r="AP32" s="93">
        <v>0.4</v>
      </c>
      <c r="AQ32" s="93">
        <f t="shared" si="26"/>
        <v>40737.5199</v>
      </c>
      <c r="AR32" s="94">
        <f t="shared" si="27"/>
        <v>9.6994095</v>
      </c>
      <c r="AS32" s="94">
        <f t="shared" si="7"/>
        <v>50205.219900000004</v>
      </c>
      <c r="AT32" s="94">
        <f t="shared" si="16"/>
        <v>78.38029606957264</v>
      </c>
      <c r="AU32" s="94">
        <f t="shared" si="8"/>
        <v>13.018967177156016</v>
      </c>
      <c r="AV32" s="94">
        <f t="shared" si="9"/>
        <v>13.127939949958298</v>
      </c>
      <c r="AW32" s="94"/>
      <c r="AX32" s="95">
        <f t="shared" si="17"/>
        <v>39351</v>
      </c>
      <c r="AY32" s="95">
        <v>0</v>
      </c>
      <c r="AZ32" s="95">
        <v>0</v>
      </c>
      <c r="BA32" s="95">
        <v>39351</v>
      </c>
      <c r="BB32" s="96">
        <f t="shared" si="18"/>
        <v>0.08999999999999986</v>
      </c>
      <c r="BC32" s="96">
        <f t="shared" si="10"/>
        <v>4993318.68</v>
      </c>
      <c r="BD32" s="96">
        <v>16.52</v>
      </c>
      <c r="BE32" s="96">
        <f t="shared" si="11"/>
        <v>5020521.99</v>
      </c>
      <c r="BF32" s="96">
        <v>16.61</v>
      </c>
      <c r="BG32" s="87">
        <v>158</v>
      </c>
      <c r="BH32" s="59" t="s">
        <v>148</v>
      </c>
      <c r="BI32" s="59" t="s">
        <v>147</v>
      </c>
      <c r="BJ32" s="60">
        <f t="shared" si="19"/>
        <v>1897.1518987341772</v>
      </c>
      <c r="BK32" s="97">
        <f t="shared" si="20"/>
        <v>0.8300828097757222</v>
      </c>
      <c r="BL32" s="60">
        <v>299750</v>
      </c>
      <c r="BM32" s="60">
        <f t="shared" si="21"/>
        <v>302259</v>
      </c>
      <c r="BN32" s="60">
        <v>57000</v>
      </c>
      <c r="BO32" s="60">
        <f t="shared" si="12"/>
        <v>40737.5199</v>
      </c>
      <c r="BP32" s="60">
        <v>245259</v>
      </c>
      <c r="BQ32" s="98">
        <f t="shared" si="22"/>
        <v>58.395</v>
      </c>
      <c r="BR32" s="60">
        <v>4200</v>
      </c>
      <c r="BS32" s="95">
        <f t="shared" si="23"/>
        <v>220000</v>
      </c>
      <c r="BT32" s="95">
        <v>2200</v>
      </c>
      <c r="BU32" s="69" t="s">
        <v>28</v>
      </c>
      <c r="BV32" s="66">
        <f t="shared" si="24"/>
        <v>16</v>
      </c>
    </row>
    <row r="33" spans="14:74" ht="40.5" customHeight="1" thickBot="1">
      <c r="N33" s="84"/>
      <c r="O33" s="85">
        <v>16</v>
      </c>
      <c r="P33" s="86"/>
      <c r="Q33" s="86"/>
      <c r="R33" s="86"/>
      <c r="S33" s="85">
        <f t="shared" si="0"/>
        <v>9389659.379999999</v>
      </c>
      <c r="T33" s="87">
        <v>89.41</v>
      </c>
      <c r="U33" s="87">
        <f t="shared" si="1"/>
        <v>9227931.66</v>
      </c>
      <c r="V33" s="87">
        <v>87.87</v>
      </c>
      <c r="W33" s="88"/>
      <c r="X33" s="88"/>
      <c r="Y33" s="89">
        <v>464</v>
      </c>
      <c r="Z33" s="89">
        <v>6600</v>
      </c>
      <c r="AA33" s="90"/>
      <c r="AB33" s="90"/>
      <c r="AC33" s="91">
        <f t="shared" si="2"/>
        <v>3.8392344497607658</v>
      </c>
      <c r="AD33" s="92">
        <v>4012</v>
      </c>
      <c r="AE33" s="177">
        <v>16</v>
      </c>
      <c r="AF33" s="93">
        <f t="shared" si="15"/>
        <v>2.2</v>
      </c>
      <c r="AG33" s="93">
        <f t="shared" si="3"/>
        <v>0</v>
      </c>
      <c r="AH33" s="93">
        <v>0</v>
      </c>
      <c r="AI33" s="93">
        <f t="shared" si="4"/>
        <v>1050.18</v>
      </c>
      <c r="AJ33" s="93">
        <v>0.01</v>
      </c>
      <c r="AK33" s="93">
        <f t="shared" si="5"/>
        <v>201634.56</v>
      </c>
      <c r="AL33" s="93">
        <v>1.92</v>
      </c>
      <c r="AM33" s="93">
        <f t="shared" si="25"/>
        <v>1050.18</v>
      </c>
      <c r="AN33" s="93">
        <v>0.01</v>
      </c>
      <c r="AO33" s="93">
        <f t="shared" si="6"/>
        <v>27304.68</v>
      </c>
      <c r="AP33" s="93">
        <v>0.26</v>
      </c>
      <c r="AQ33" s="93">
        <f t="shared" si="26"/>
        <v>14576.4984</v>
      </c>
      <c r="AR33" s="94">
        <f t="shared" si="27"/>
        <v>8.035555898566704</v>
      </c>
      <c r="AS33" s="94">
        <f t="shared" si="7"/>
        <v>14576.4984</v>
      </c>
      <c r="AT33" s="94">
        <f t="shared" si="16"/>
        <v>82.41348278815714</v>
      </c>
      <c r="AU33" s="94">
        <f t="shared" si="8"/>
        <v>11.438991410996211</v>
      </c>
      <c r="AV33" s="94">
        <f t="shared" si="9"/>
        <v>11.495693779904306</v>
      </c>
      <c r="AW33" s="94"/>
      <c r="AX33" s="95">
        <f t="shared" si="17"/>
        <v>12013</v>
      </c>
      <c r="AY33" s="95">
        <v>35</v>
      </c>
      <c r="AZ33" s="95">
        <v>0</v>
      </c>
      <c r="BA33" s="95">
        <v>11978</v>
      </c>
      <c r="BB33" s="96">
        <f t="shared" si="18"/>
        <v>0.19000000000000128</v>
      </c>
      <c r="BC33" s="96">
        <f t="shared" si="10"/>
        <v>1437696.42</v>
      </c>
      <c r="BD33" s="96">
        <v>13.69</v>
      </c>
      <c r="BE33" s="96">
        <f t="shared" si="11"/>
        <v>1457649.84</v>
      </c>
      <c r="BF33" s="96">
        <v>13.88</v>
      </c>
      <c r="BG33" s="87">
        <v>60</v>
      </c>
      <c r="BH33" s="59" t="s">
        <v>125</v>
      </c>
      <c r="BI33" s="59" t="s">
        <v>124</v>
      </c>
      <c r="BJ33" s="60">
        <f t="shared" si="19"/>
        <v>1741.6666666666667</v>
      </c>
      <c r="BK33" s="97">
        <f t="shared" si="20"/>
        <v>0.4932487764002362</v>
      </c>
      <c r="BL33" s="60">
        <v>104500</v>
      </c>
      <c r="BM33" s="60">
        <f t="shared" si="21"/>
        <v>105018</v>
      </c>
      <c r="BN33" s="60">
        <v>0</v>
      </c>
      <c r="BO33" s="60">
        <f t="shared" si="12"/>
        <v>14576.4984</v>
      </c>
      <c r="BP33" s="60">
        <v>105018</v>
      </c>
      <c r="BQ33" s="98">
        <f t="shared" si="22"/>
        <v>57.89305402425579</v>
      </c>
      <c r="BR33" s="60">
        <v>1814</v>
      </c>
      <c r="BS33" s="95">
        <f t="shared" si="23"/>
        <v>0</v>
      </c>
      <c r="BT33" s="95"/>
      <c r="BU33" s="69" t="s">
        <v>29</v>
      </c>
      <c r="BV33" s="66">
        <v>16</v>
      </c>
    </row>
    <row r="34" spans="14:74" ht="39" customHeight="1" thickBot="1">
      <c r="N34" s="84"/>
      <c r="O34" s="85">
        <v>17</v>
      </c>
      <c r="P34" s="86"/>
      <c r="Q34" s="86"/>
      <c r="R34" s="86"/>
      <c r="S34" s="85">
        <f t="shared" si="0"/>
        <v>17853404.4</v>
      </c>
      <c r="T34" s="87">
        <v>92.3</v>
      </c>
      <c r="U34" s="87">
        <f t="shared" si="1"/>
        <v>17041006.8</v>
      </c>
      <c r="V34" s="87">
        <v>88.1</v>
      </c>
      <c r="W34" s="88">
        <f t="shared" si="13"/>
        <v>128.952</v>
      </c>
      <c r="X34" s="88">
        <f t="shared" si="14"/>
        <v>128.952</v>
      </c>
      <c r="Y34" s="89">
        <v>3821</v>
      </c>
      <c r="Z34" s="89">
        <v>13745</v>
      </c>
      <c r="AA34" s="90"/>
      <c r="AB34" s="90"/>
      <c r="AC34" s="91">
        <f t="shared" si="2"/>
        <v>3</v>
      </c>
      <c r="AD34" s="92">
        <v>5778</v>
      </c>
      <c r="AE34" s="177">
        <v>17</v>
      </c>
      <c r="AF34" s="93">
        <f t="shared" si="15"/>
        <v>1.71</v>
      </c>
      <c r="AG34" s="93">
        <f t="shared" si="3"/>
        <v>0</v>
      </c>
      <c r="AH34" s="93">
        <v>0</v>
      </c>
      <c r="AI34" s="93">
        <f t="shared" si="4"/>
        <v>1934.28</v>
      </c>
      <c r="AJ34" s="93">
        <v>0.01</v>
      </c>
      <c r="AK34" s="93">
        <f t="shared" si="5"/>
        <v>290142</v>
      </c>
      <c r="AL34" s="93">
        <v>1.5</v>
      </c>
      <c r="AM34" s="93">
        <f t="shared" si="25"/>
        <v>7737.12</v>
      </c>
      <c r="AN34" s="93">
        <v>0.04</v>
      </c>
      <c r="AO34" s="93">
        <f t="shared" si="6"/>
        <v>30948.48</v>
      </c>
      <c r="AP34" s="93">
        <v>0.16</v>
      </c>
      <c r="AQ34" s="93">
        <f t="shared" si="26"/>
        <v>32328.04</v>
      </c>
      <c r="AR34" s="94">
        <f t="shared" si="27"/>
        <v>10.4284</v>
      </c>
      <c r="AS34" s="94">
        <f t="shared" si="7"/>
        <v>32534.5896</v>
      </c>
      <c r="AT34" s="94">
        <f t="shared" si="16"/>
        <v>89.31417410594908</v>
      </c>
      <c r="AU34" s="94">
        <f t="shared" si="8"/>
        <v>15.022644084620634</v>
      </c>
      <c r="AV34" s="94">
        <f t="shared" si="9"/>
        <v>15.087227414330219</v>
      </c>
      <c r="AW34" s="94"/>
      <c r="AX34" s="95">
        <f t="shared" si="17"/>
        <v>29058</v>
      </c>
      <c r="AY34" s="95">
        <v>60</v>
      </c>
      <c r="AZ34" s="95">
        <v>0</v>
      </c>
      <c r="BA34" s="95">
        <v>28998</v>
      </c>
      <c r="BB34" s="96">
        <f t="shared" si="18"/>
        <v>0.030000000000001137</v>
      </c>
      <c r="BC34" s="96">
        <f t="shared" si="10"/>
        <v>3247656.1199999996</v>
      </c>
      <c r="BD34" s="96">
        <v>16.79</v>
      </c>
      <c r="BE34" s="96">
        <f t="shared" si="11"/>
        <v>3253458.96</v>
      </c>
      <c r="BF34" s="96">
        <v>16.82</v>
      </c>
      <c r="BG34" s="87">
        <v>109</v>
      </c>
      <c r="BH34" s="59" t="s">
        <v>123</v>
      </c>
      <c r="BI34" s="59" t="s">
        <v>122</v>
      </c>
      <c r="BJ34" s="60">
        <f t="shared" si="19"/>
        <v>1766.9724770642201</v>
      </c>
      <c r="BK34" s="97">
        <f t="shared" si="20"/>
        <v>0.4280662572119859</v>
      </c>
      <c r="BL34" s="60">
        <v>192600</v>
      </c>
      <c r="BM34" s="60">
        <f t="shared" si="21"/>
        <v>193428</v>
      </c>
      <c r="BN34" s="60">
        <v>1228</v>
      </c>
      <c r="BO34" s="60">
        <f t="shared" si="12"/>
        <v>32328.04</v>
      </c>
      <c r="BP34" s="60">
        <v>192200</v>
      </c>
      <c r="BQ34" s="98">
        <f t="shared" si="22"/>
        <v>62</v>
      </c>
      <c r="BR34" s="60">
        <v>3100</v>
      </c>
      <c r="BS34" s="95">
        <f t="shared" si="23"/>
        <v>150000</v>
      </c>
      <c r="BT34" s="95">
        <v>1500</v>
      </c>
      <c r="BU34" s="70" t="s">
        <v>30</v>
      </c>
      <c r="BV34" s="66">
        <f t="shared" si="24"/>
        <v>17</v>
      </c>
    </row>
    <row r="35" spans="14:74" ht="38.25" customHeight="1" thickBot="1">
      <c r="N35" s="84"/>
      <c r="O35" s="85">
        <v>18</v>
      </c>
      <c r="P35" s="86"/>
      <c r="Q35" s="86"/>
      <c r="R35" s="86"/>
      <c r="S35" s="85">
        <f t="shared" si="0"/>
        <v>26144896.8</v>
      </c>
      <c r="T35" s="87">
        <v>89.3</v>
      </c>
      <c r="U35" s="87">
        <f t="shared" si="1"/>
        <v>25266568.8</v>
      </c>
      <c r="V35" s="87">
        <v>86.3</v>
      </c>
      <c r="W35" s="88">
        <f t="shared" si="13"/>
        <v>97.592</v>
      </c>
      <c r="X35" s="88">
        <f t="shared" si="14"/>
        <v>97.592</v>
      </c>
      <c r="Y35" s="89">
        <v>15753</v>
      </c>
      <c r="Z35" s="89">
        <v>15995</v>
      </c>
      <c r="AA35" s="90"/>
      <c r="AB35" s="90"/>
      <c r="AC35" s="91">
        <f t="shared" si="2"/>
        <v>5.473869403715908</v>
      </c>
      <c r="AD35" s="92">
        <v>15930</v>
      </c>
      <c r="AE35" s="177">
        <v>18</v>
      </c>
      <c r="AF35" s="93">
        <f t="shared" si="15"/>
        <v>3.16</v>
      </c>
      <c r="AG35" s="93">
        <f t="shared" si="3"/>
        <v>0</v>
      </c>
      <c r="AH35" s="93">
        <v>0</v>
      </c>
      <c r="AI35" s="93">
        <f t="shared" si="4"/>
        <v>8783.279999999999</v>
      </c>
      <c r="AJ35" s="93">
        <v>0.03</v>
      </c>
      <c r="AK35" s="93">
        <f t="shared" si="5"/>
        <v>796350.7200000001</v>
      </c>
      <c r="AL35" s="93">
        <v>2.72</v>
      </c>
      <c r="AM35" s="93">
        <f t="shared" si="25"/>
        <v>23422.08</v>
      </c>
      <c r="AN35" s="93">
        <v>0.08</v>
      </c>
      <c r="AO35" s="93">
        <f t="shared" si="6"/>
        <v>96616.08</v>
      </c>
      <c r="AP35" s="93">
        <v>0.33</v>
      </c>
      <c r="AQ35" s="93">
        <f t="shared" si="26"/>
        <v>46697.772000000004</v>
      </c>
      <c r="AR35" s="94">
        <f t="shared" si="27"/>
        <v>7.018000000000001</v>
      </c>
      <c r="AS35" s="94">
        <f t="shared" si="7"/>
        <v>46697.772000000004</v>
      </c>
      <c r="AT35" s="94">
        <f t="shared" si="16"/>
        <v>80.16442411856394</v>
      </c>
      <c r="AU35" s="94">
        <f t="shared" si="8"/>
        <v>12.786225646910948</v>
      </c>
      <c r="AV35" s="94">
        <f t="shared" si="9"/>
        <v>12.863421288644384</v>
      </c>
      <c r="AW35" s="94"/>
      <c r="AX35" s="95">
        <f t="shared" si="17"/>
        <v>37435</v>
      </c>
      <c r="AY35" s="95">
        <v>0</v>
      </c>
      <c r="AZ35" s="95">
        <v>0</v>
      </c>
      <c r="BA35" s="95">
        <v>37435</v>
      </c>
      <c r="BB35" s="96">
        <f t="shared" si="18"/>
        <v>0.1999999999999993</v>
      </c>
      <c r="BC35" s="96">
        <f t="shared" si="10"/>
        <v>4611222</v>
      </c>
      <c r="BD35" s="96">
        <v>15.75</v>
      </c>
      <c r="BE35" s="96">
        <f t="shared" si="11"/>
        <v>4669777.2</v>
      </c>
      <c r="BF35" s="96">
        <v>15.95</v>
      </c>
      <c r="BG35" s="87">
        <v>135</v>
      </c>
      <c r="BH35" s="59" t="s">
        <v>157</v>
      </c>
      <c r="BI35" s="59" t="s">
        <v>147</v>
      </c>
      <c r="BJ35" s="60">
        <f t="shared" si="19"/>
        <v>2155.696296296296</v>
      </c>
      <c r="BK35" s="97">
        <f t="shared" si="20"/>
        <v>0.600117495969615</v>
      </c>
      <c r="BL35" s="60">
        <v>291019</v>
      </c>
      <c r="BM35" s="60">
        <f t="shared" si="21"/>
        <v>292776</v>
      </c>
      <c r="BN35" s="60">
        <v>0</v>
      </c>
      <c r="BO35" s="60">
        <f t="shared" si="12"/>
        <v>46697.772000000004</v>
      </c>
      <c r="BP35" s="60">
        <v>292776</v>
      </c>
      <c r="BQ35" s="98">
        <f t="shared" si="22"/>
        <v>44</v>
      </c>
      <c r="BR35" s="60">
        <v>6654</v>
      </c>
      <c r="BS35" s="95">
        <f t="shared" si="23"/>
        <v>300000</v>
      </c>
      <c r="BT35" s="95">
        <v>3000</v>
      </c>
      <c r="BU35" s="71" t="s">
        <v>175</v>
      </c>
      <c r="BV35" s="66">
        <v>18</v>
      </c>
    </row>
    <row r="36" spans="14:74" ht="38.25" customHeight="1" thickBot="1">
      <c r="N36" s="84"/>
      <c r="O36" s="85">
        <v>18</v>
      </c>
      <c r="P36" s="86"/>
      <c r="Q36" s="86"/>
      <c r="R36" s="86"/>
      <c r="S36" s="85">
        <f t="shared" si="0"/>
        <v>12701689</v>
      </c>
      <c r="T36" s="87">
        <v>91</v>
      </c>
      <c r="U36" s="87">
        <f t="shared" si="1"/>
        <v>12073583.5</v>
      </c>
      <c r="V36" s="87">
        <v>86.5</v>
      </c>
      <c r="W36" s="88"/>
      <c r="X36" s="88"/>
      <c r="Y36" s="89">
        <v>3284</v>
      </c>
      <c r="Z36" s="89">
        <v>8000</v>
      </c>
      <c r="AA36" s="90"/>
      <c r="AB36" s="90"/>
      <c r="AC36" s="91">
        <f t="shared" si="2"/>
        <v>4.45398249911484</v>
      </c>
      <c r="AD36" s="92">
        <v>6164</v>
      </c>
      <c r="AE36" s="177">
        <v>18</v>
      </c>
      <c r="AF36" s="93">
        <f t="shared" si="15"/>
        <v>2.335</v>
      </c>
      <c r="AG36" s="93">
        <f t="shared" si="3"/>
        <v>0</v>
      </c>
      <c r="AH36" s="93">
        <v>0</v>
      </c>
      <c r="AI36" s="93">
        <f t="shared" si="4"/>
        <v>8374.74</v>
      </c>
      <c r="AJ36" s="93">
        <v>0.06</v>
      </c>
      <c r="AK36" s="93">
        <f t="shared" si="5"/>
        <v>270783.26</v>
      </c>
      <c r="AL36" s="93">
        <v>1.94</v>
      </c>
      <c r="AM36" s="93">
        <f t="shared" si="25"/>
        <v>4885.265</v>
      </c>
      <c r="AN36" s="93">
        <v>0.035</v>
      </c>
      <c r="AO36" s="93">
        <f t="shared" si="6"/>
        <v>41873.7</v>
      </c>
      <c r="AP36" s="93">
        <v>0.3</v>
      </c>
      <c r="AQ36" s="93">
        <f t="shared" si="26"/>
        <v>19917.9233</v>
      </c>
      <c r="AR36" s="94">
        <f t="shared" si="27"/>
        <v>10.352350987525988</v>
      </c>
      <c r="AS36" s="94">
        <f t="shared" si="7"/>
        <v>19917.9233</v>
      </c>
      <c r="AT36" s="94">
        <f t="shared" si="16"/>
        <v>83.62317571531165</v>
      </c>
      <c r="AU36" s="94">
        <f t="shared" si="8"/>
        <v>11.93302717457497</v>
      </c>
      <c r="AV36" s="94">
        <f t="shared" si="9"/>
        <v>12.035290802280462</v>
      </c>
      <c r="AW36" s="94"/>
      <c r="AX36" s="95">
        <f t="shared" si="17"/>
        <v>16656</v>
      </c>
      <c r="AY36" s="95">
        <v>0</v>
      </c>
      <c r="AZ36" s="95">
        <v>0</v>
      </c>
      <c r="BA36" s="95">
        <v>16656</v>
      </c>
      <c r="BB36" s="96">
        <f t="shared" si="18"/>
        <v>0.23000000000000043</v>
      </c>
      <c r="BC36" s="96">
        <f t="shared" si="10"/>
        <v>1959689.16</v>
      </c>
      <c r="BD36" s="96">
        <v>14.04</v>
      </c>
      <c r="BE36" s="96">
        <f t="shared" si="11"/>
        <v>1991792.3299999998</v>
      </c>
      <c r="BF36" s="96">
        <v>14.27</v>
      </c>
      <c r="BG36" s="87">
        <v>70</v>
      </c>
      <c r="BH36" s="59" t="s">
        <v>129</v>
      </c>
      <c r="BI36" s="59" t="s">
        <v>128</v>
      </c>
      <c r="BJ36" s="60">
        <f t="shared" si="19"/>
        <v>1977.0428571428572</v>
      </c>
      <c r="BK36" s="97">
        <f t="shared" si="20"/>
        <v>0.8496980204758595</v>
      </c>
      <c r="BL36" s="60">
        <v>138393</v>
      </c>
      <c r="BM36" s="60">
        <f t="shared" si="21"/>
        <v>139579</v>
      </c>
      <c r="BN36" s="60">
        <v>0</v>
      </c>
      <c r="BO36" s="60">
        <f t="shared" si="12"/>
        <v>19917.9233</v>
      </c>
      <c r="BP36" s="60">
        <v>139579</v>
      </c>
      <c r="BQ36" s="98">
        <f t="shared" si="22"/>
        <v>72.54625779625779</v>
      </c>
      <c r="BR36" s="60">
        <v>1924</v>
      </c>
      <c r="BS36" s="95">
        <f t="shared" si="23"/>
        <v>0</v>
      </c>
      <c r="BT36" s="95"/>
      <c r="BU36" s="71" t="s">
        <v>93</v>
      </c>
      <c r="BV36" s="66">
        <v>18</v>
      </c>
    </row>
    <row r="37" spans="14:74" ht="38.25" customHeight="1" thickBot="1">
      <c r="N37" s="84"/>
      <c r="O37" s="85">
        <v>19</v>
      </c>
      <c r="P37" s="86"/>
      <c r="Q37" s="86"/>
      <c r="R37" s="86"/>
      <c r="S37" s="85">
        <f t="shared" si="0"/>
        <v>38944990</v>
      </c>
      <c r="T37" s="87">
        <v>91.7</v>
      </c>
      <c r="U37" s="87">
        <f t="shared" si="1"/>
        <v>37033840</v>
      </c>
      <c r="V37" s="87">
        <v>87.2</v>
      </c>
      <c r="W37" s="88">
        <f t="shared" si="13"/>
        <v>106.175</v>
      </c>
      <c r="X37" s="88">
        <f t="shared" si="14"/>
        <v>106.175</v>
      </c>
      <c r="Y37" s="89">
        <v>4446</v>
      </c>
      <c r="Z37" s="89">
        <v>30370</v>
      </c>
      <c r="AA37" s="90"/>
      <c r="AB37" s="90"/>
      <c r="AC37" s="91">
        <f t="shared" si="2"/>
        <v>3.8496117695136904</v>
      </c>
      <c r="AD37" s="92">
        <v>16014</v>
      </c>
      <c r="AE37" s="177">
        <v>19</v>
      </c>
      <c r="AF37" s="93">
        <f t="shared" si="15"/>
        <v>2.596</v>
      </c>
      <c r="AG37" s="93">
        <f t="shared" si="3"/>
        <v>0</v>
      </c>
      <c r="AH37" s="93">
        <v>0</v>
      </c>
      <c r="AI37" s="93">
        <f t="shared" si="4"/>
        <v>38647.7</v>
      </c>
      <c r="AJ37" s="93">
        <v>0.091</v>
      </c>
      <c r="AK37" s="93">
        <f t="shared" si="5"/>
        <v>817547.5</v>
      </c>
      <c r="AL37" s="93">
        <v>1.925</v>
      </c>
      <c r="AM37" s="93">
        <f t="shared" si="25"/>
        <v>80693</v>
      </c>
      <c r="AN37" s="93">
        <v>0.19</v>
      </c>
      <c r="AO37" s="93">
        <f t="shared" si="6"/>
        <v>165633</v>
      </c>
      <c r="AP37" s="93">
        <v>0.39</v>
      </c>
      <c r="AQ37" s="93">
        <f t="shared" si="26"/>
        <v>72666.17</v>
      </c>
      <c r="AR37" s="94">
        <f t="shared" si="27"/>
        <v>8.847701205406063</v>
      </c>
      <c r="AS37" s="94">
        <f t="shared" si="7"/>
        <v>72666.17</v>
      </c>
      <c r="AT37" s="94">
        <f t="shared" si="16"/>
        <v>81.0294529077286</v>
      </c>
      <c r="AU37" s="94">
        <f t="shared" si="8"/>
        <v>13.864139392512362</v>
      </c>
      <c r="AV37" s="94">
        <f t="shared" si="9"/>
        <v>14.154426789105507</v>
      </c>
      <c r="AW37" s="94"/>
      <c r="AX37" s="95">
        <f t="shared" si="17"/>
        <v>58881</v>
      </c>
      <c r="AY37" s="95">
        <v>0</v>
      </c>
      <c r="AZ37" s="95">
        <v>0</v>
      </c>
      <c r="BA37" s="95">
        <v>58881</v>
      </c>
      <c r="BB37" s="96">
        <f t="shared" si="18"/>
        <v>0.35999999999999943</v>
      </c>
      <c r="BC37" s="96">
        <f t="shared" si="10"/>
        <v>7113725</v>
      </c>
      <c r="BD37" s="96">
        <v>16.75</v>
      </c>
      <c r="BE37" s="96">
        <f t="shared" si="11"/>
        <v>7266617</v>
      </c>
      <c r="BF37" s="96">
        <v>17.11</v>
      </c>
      <c r="BG37" s="87">
        <v>157</v>
      </c>
      <c r="BH37" s="59" t="s">
        <v>144</v>
      </c>
      <c r="BI37" s="59" t="s">
        <v>143</v>
      </c>
      <c r="BJ37" s="60">
        <f t="shared" si="19"/>
        <v>2649.6178343949045</v>
      </c>
      <c r="BK37" s="97">
        <f t="shared" si="20"/>
        <v>2.0508594301860135</v>
      </c>
      <c r="BL37" s="60">
        <v>415990</v>
      </c>
      <c r="BM37" s="60">
        <f t="shared" si="21"/>
        <v>424700</v>
      </c>
      <c r="BN37" s="60">
        <v>0</v>
      </c>
      <c r="BO37" s="60">
        <f t="shared" si="12"/>
        <v>72666.17</v>
      </c>
      <c r="BP37" s="60">
        <v>424700</v>
      </c>
      <c r="BQ37" s="98">
        <f t="shared" si="22"/>
        <v>51.710702544746134</v>
      </c>
      <c r="BR37" s="60">
        <v>8213</v>
      </c>
      <c r="BS37" s="95">
        <f t="shared" si="23"/>
        <v>400000</v>
      </c>
      <c r="BT37" s="95">
        <v>4000</v>
      </c>
      <c r="BU37" s="72" t="s">
        <v>96</v>
      </c>
      <c r="BV37" s="66">
        <f>SUM(BV35,1)</f>
        <v>19</v>
      </c>
    </row>
    <row r="38" spans="14:74" ht="42" customHeight="1" thickBot="1">
      <c r="N38" s="84"/>
      <c r="O38" s="85">
        <v>19</v>
      </c>
      <c r="P38" s="86"/>
      <c r="Q38" s="86"/>
      <c r="R38" s="86"/>
      <c r="S38" s="85">
        <f t="shared" si="0"/>
        <v>14694974.799999999</v>
      </c>
      <c r="T38" s="87">
        <v>94.6</v>
      </c>
      <c r="U38" s="87">
        <f t="shared" si="1"/>
        <v>13685277.799999999</v>
      </c>
      <c r="V38" s="87">
        <v>88.1</v>
      </c>
      <c r="W38" s="88"/>
      <c r="X38" s="88"/>
      <c r="Y38" s="89">
        <v>1480</v>
      </c>
      <c r="Z38" s="89">
        <v>11418</v>
      </c>
      <c r="AA38" s="90"/>
      <c r="AB38" s="90"/>
      <c r="AC38" s="91">
        <f t="shared" si="2"/>
        <v>3.1760942252235087</v>
      </c>
      <c r="AD38" s="92">
        <v>4835</v>
      </c>
      <c r="AE38" s="177">
        <v>19</v>
      </c>
      <c r="AF38" s="93">
        <f t="shared" si="15"/>
        <v>2.138</v>
      </c>
      <c r="AG38" s="93">
        <f t="shared" si="3"/>
        <v>0</v>
      </c>
      <c r="AH38" s="93">
        <v>0</v>
      </c>
      <c r="AI38" s="93">
        <f t="shared" si="4"/>
        <v>15533.800000000001</v>
      </c>
      <c r="AJ38" s="93">
        <v>0.1</v>
      </c>
      <c r="AK38" s="93">
        <f t="shared" si="5"/>
        <v>246676.744</v>
      </c>
      <c r="AL38" s="93">
        <v>1.588</v>
      </c>
      <c r="AM38" s="93">
        <f t="shared" si="25"/>
        <v>23300.7</v>
      </c>
      <c r="AN38" s="93">
        <v>0.15</v>
      </c>
      <c r="AO38" s="93">
        <f t="shared" si="6"/>
        <v>46601.4</v>
      </c>
      <c r="AP38" s="93">
        <v>0.3</v>
      </c>
      <c r="AQ38" s="93">
        <f t="shared" si="26"/>
        <v>22881.2874</v>
      </c>
      <c r="AR38" s="94">
        <f t="shared" si="27"/>
        <v>11.4406437</v>
      </c>
      <c r="AS38" s="94">
        <f t="shared" si="7"/>
        <v>22881.2874</v>
      </c>
      <c r="AT38" s="94">
        <f t="shared" si="16"/>
        <v>82.11076444938146</v>
      </c>
      <c r="AU38" s="94">
        <f t="shared" si="8"/>
        <v>12.09491560339389</v>
      </c>
      <c r="AV38" s="94">
        <f t="shared" si="9"/>
        <v>12.341770073112572</v>
      </c>
      <c r="AW38" s="94"/>
      <c r="AX38" s="95">
        <f t="shared" si="17"/>
        <v>18788</v>
      </c>
      <c r="AY38" s="95">
        <v>0</v>
      </c>
      <c r="AZ38" s="95">
        <v>0</v>
      </c>
      <c r="BA38" s="95">
        <v>18788</v>
      </c>
      <c r="BB38" s="96">
        <f t="shared" si="18"/>
        <v>0.25</v>
      </c>
      <c r="BC38" s="96">
        <f t="shared" si="10"/>
        <v>2249294.24</v>
      </c>
      <c r="BD38" s="96">
        <v>14.48</v>
      </c>
      <c r="BE38" s="96">
        <f t="shared" si="11"/>
        <v>2288128.74</v>
      </c>
      <c r="BF38" s="96">
        <v>14.73</v>
      </c>
      <c r="BG38" s="87">
        <v>68</v>
      </c>
      <c r="BH38" s="59" t="s">
        <v>132</v>
      </c>
      <c r="BI38" s="59" t="s">
        <v>133</v>
      </c>
      <c r="BJ38" s="60">
        <f t="shared" si="19"/>
        <v>2238.6911764705883</v>
      </c>
      <c r="BK38" s="97">
        <f t="shared" si="20"/>
        <v>2.000154501796083</v>
      </c>
      <c r="BL38" s="60">
        <v>152231</v>
      </c>
      <c r="BM38" s="60">
        <f t="shared" si="21"/>
        <v>155338</v>
      </c>
      <c r="BN38" s="60">
        <v>0</v>
      </c>
      <c r="BO38" s="60">
        <f t="shared" si="12"/>
        <v>22881.2874</v>
      </c>
      <c r="BP38" s="60">
        <v>155338</v>
      </c>
      <c r="BQ38" s="98">
        <f t="shared" si="22"/>
        <v>77.669</v>
      </c>
      <c r="BR38" s="60">
        <v>2000</v>
      </c>
      <c r="BS38" s="95">
        <f t="shared" si="23"/>
        <v>0</v>
      </c>
      <c r="BT38" s="95"/>
      <c r="BU38" s="72" t="s">
        <v>97</v>
      </c>
      <c r="BV38" s="66">
        <v>19</v>
      </c>
    </row>
    <row r="39" spans="14:74" ht="42" customHeight="1" thickBot="1">
      <c r="N39" s="84"/>
      <c r="O39" s="85">
        <v>20</v>
      </c>
      <c r="P39" s="86"/>
      <c r="Q39" s="86"/>
      <c r="R39" s="86"/>
      <c r="S39" s="85">
        <f t="shared" si="0"/>
        <v>28600260</v>
      </c>
      <c r="T39" s="87">
        <v>92.5</v>
      </c>
      <c r="U39" s="87">
        <f t="shared" si="1"/>
        <v>27147057.599999998</v>
      </c>
      <c r="V39" s="87">
        <v>87.8</v>
      </c>
      <c r="W39" s="88">
        <f t="shared" si="13"/>
        <v>154.596</v>
      </c>
      <c r="X39" s="88">
        <f t="shared" si="14"/>
        <v>154.596</v>
      </c>
      <c r="Y39" s="89"/>
      <c r="Z39" s="89"/>
      <c r="AA39" s="90"/>
      <c r="AB39" s="90"/>
      <c r="AC39" s="91">
        <f t="shared" si="2"/>
        <v>3.4820649135368953</v>
      </c>
      <c r="AD39" s="92">
        <v>10650</v>
      </c>
      <c r="AE39" s="177">
        <v>20</v>
      </c>
      <c r="AF39" s="93">
        <f t="shared" si="15"/>
        <v>2.31</v>
      </c>
      <c r="AG39" s="93">
        <f t="shared" si="3"/>
        <v>0</v>
      </c>
      <c r="AH39" s="93">
        <v>0</v>
      </c>
      <c r="AI39" s="93">
        <f t="shared" si="4"/>
        <v>52562.64000000001</v>
      </c>
      <c r="AJ39" s="93">
        <v>0.17</v>
      </c>
      <c r="AK39" s="93">
        <f t="shared" si="5"/>
        <v>537994.08</v>
      </c>
      <c r="AL39" s="93">
        <v>1.74</v>
      </c>
      <c r="AM39" s="93">
        <f t="shared" si="25"/>
        <v>21643.440000000002</v>
      </c>
      <c r="AN39" s="93">
        <v>0.07</v>
      </c>
      <c r="AO39" s="93">
        <f t="shared" si="6"/>
        <v>102033.36</v>
      </c>
      <c r="AP39" s="93">
        <v>0.33</v>
      </c>
      <c r="AQ39" s="93">
        <f t="shared" si="26"/>
        <v>40482.131199999996</v>
      </c>
      <c r="AR39" s="94">
        <f t="shared" si="27"/>
        <v>6.547328351932718</v>
      </c>
      <c r="AS39" s="94">
        <f t="shared" si="7"/>
        <v>53675.7312</v>
      </c>
      <c r="AT39" s="94">
        <f t="shared" si="16"/>
        <v>85.97926654793294</v>
      </c>
      <c r="AU39" s="94">
        <f t="shared" si="8"/>
        <v>14.926000672721157</v>
      </c>
      <c r="AV39" s="94">
        <f t="shared" si="9"/>
        <v>15.08894795865988</v>
      </c>
      <c r="AW39" s="94"/>
      <c r="AX39" s="95">
        <f t="shared" si="17"/>
        <v>46150</v>
      </c>
      <c r="AY39" s="95">
        <v>131</v>
      </c>
      <c r="AZ39" s="95">
        <v>0</v>
      </c>
      <c r="BA39" s="95">
        <v>46019</v>
      </c>
      <c r="BB39" s="96">
        <f t="shared" si="18"/>
        <v>0.33999999999999986</v>
      </c>
      <c r="BC39" s="96">
        <f t="shared" si="10"/>
        <v>5262447.84</v>
      </c>
      <c r="BD39" s="96">
        <v>17.02</v>
      </c>
      <c r="BE39" s="96">
        <f t="shared" si="11"/>
        <v>5367573.12</v>
      </c>
      <c r="BF39" s="100">
        <v>17.36</v>
      </c>
      <c r="BG39" s="87">
        <v>151</v>
      </c>
      <c r="BH39" s="59" t="s">
        <v>142</v>
      </c>
      <c r="BI39" s="59" t="s">
        <v>141</v>
      </c>
      <c r="BJ39" s="60">
        <f t="shared" si="19"/>
        <v>2025.5165562913908</v>
      </c>
      <c r="BK39" s="97">
        <f t="shared" si="20"/>
        <v>1.0799115112939532</v>
      </c>
      <c r="BL39" s="60">
        <v>305853</v>
      </c>
      <c r="BM39" s="60">
        <f t="shared" si="21"/>
        <v>309192</v>
      </c>
      <c r="BN39" s="60">
        <v>76000</v>
      </c>
      <c r="BO39" s="60">
        <f t="shared" si="12"/>
        <v>40482.131199999996</v>
      </c>
      <c r="BP39" s="60">
        <v>233192</v>
      </c>
      <c r="BQ39" s="98">
        <f t="shared" si="22"/>
        <v>37.71502506873686</v>
      </c>
      <c r="BR39" s="60">
        <v>6183</v>
      </c>
      <c r="BS39" s="95">
        <f t="shared" si="23"/>
        <v>200000</v>
      </c>
      <c r="BT39" s="95">
        <v>2000</v>
      </c>
      <c r="BU39" s="72" t="s">
        <v>98</v>
      </c>
      <c r="BV39" s="66">
        <f t="shared" si="24"/>
        <v>20</v>
      </c>
    </row>
    <row r="40" spans="14:74" ht="42" customHeight="1" thickBot="1">
      <c r="N40" s="84"/>
      <c r="O40" s="85">
        <v>20</v>
      </c>
      <c r="P40" s="86"/>
      <c r="Q40" s="86"/>
      <c r="R40" s="86"/>
      <c r="S40" s="85">
        <f t="shared" si="0"/>
        <v>8382498</v>
      </c>
      <c r="T40" s="87">
        <v>91.5</v>
      </c>
      <c r="U40" s="87">
        <f t="shared" si="1"/>
        <v>7660595.44</v>
      </c>
      <c r="V40" s="87">
        <v>83.62</v>
      </c>
      <c r="W40" s="88"/>
      <c r="X40" s="88"/>
      <c r="Y40" s="89">
        <v>0</v>
      </c>
      <c r="Z40" s="89">
        <v>6963</v>
      </c>
      <c r="AA40" s="90"/>
      <c r="AB40" s="90"/>
      <c r="AC40" s="91">
        <f t="shared" si="2"/>
        <v>3.149458738452719</v>
      </c>
      <c r="AD40" s="92">
        <v>2857</v>
      </c>
      <c r="AE40" s="177">
        <v>20</v>
      </c>
      <c r="AF40" s="93">
        <f t="shared" si="15"/>
        <v>2.08</v>
      </c>
      <c r="AG40" s="93">
        <f t="shared" si="3"/>
        <v>0</v>
      </c>
      <c r="AH40" s="93">
        <v>0</v>
      </c>
      <c r="AI40" s="93">
        <f t="shared" si="4"/>
        <v>17406.28</v>
      </c>
      <c r="AJ40" s="93">
        <v>0.19</v>
      </c>
      <c r="AK40" s="93">
        <f t="shared" si="5"/>
        <v>143830.84</v>
      </c>
      <c r="AL40" s="93">
        <v>1.57</v>
      </c>
      <c r="AM40" s="93">
        <f t="shared" si="25"/>
        <v>1832.24</v>
      </c>
      <c r="AN40" s="93">
        <v>0.02</v>
      </c>
      <c r="AO40" s="93">
        <f t="shared" si="6"/>
        <v>27483.6</v>
      </c>
      <c r="AP40" s="93">
        <v>0.3</v>
      </c>
      <c r="AQ40" s="93">
        <f t="shared" si="26"/>
        <v>12569.166400000002</v>
      </c>
      <c r="AR40" s="94">
        <f t="shared" si="27"/>
        <v>8.920629098651528</v>
      </c>
      <c r="AS40" s="94">
        <f t="shared" si="7"/>
        <v>12569.166400000002</v>
      </c>
      <c r="AT40" s="94">
        <f t="shared" si="16"/>
        <v>82.63873410093447</v>
      </c>
      <c r="AU40" s="94">
        <f t="shared" si="8"/>
        <v>11.338034318648212</v>
      </c>
      <c r="AV40" s="94">
        <f t="shared" si="9"/>
        <v>11.450272284322155</v>
      </c>
      <c r="AW40" s="94"/>
      <c r="AX40" s="95">
        <f t="shared" si="17"/>
        <v>10387</v>
      </c>
      <c r="AY40" s="95">
        <v>0</v>
      </c>
      <c r="AZ40" s="95">
        <v>0</v>
      </c>
      <c r="BA40" s="95">
        <v>10387</v>
      </c>
      <c r="BB40" s="96">
        <f t="shared" si="18"/>
        <v>0.19000000000000128</v>
      </c>
      <c r="BC40" s="96">
        <f t="shared" si="10"/>
        <v>1239510.3599999999</v>
      </c>
      <c r="BD40" s="96">
        <v>13.53</v>
      </c>
      <c r="BE40" s="96">
        <f t="shared" si="11"/>
        <v>1256916.6400000001</v>
      </c>
      <c r="BF40" s="96">
        <v>13.72</v>
      </c>
      <c r="BG40" s="87">
        <v>45</v>
      </c>
      <c r="BH40" s="59" t="s">
        <v>127</v>
      </c>
      <c r="BI40" s="59" t="s">
        <v>126</v>
      </c>
      <c r="BJ40" s="60">
        <f t="shared" si="19"/>
        <v>2015.8666666666666</v>
      </c>
      <c r="BK40" s="97">
        <f t="shared" si="20"/>
        <v>0.9802209317556652</v>
      </c>
      <c r="BL40" s="60">
        <v>90714</v>
      </c>
      <c r="BM40" s="60">
        <f t="shared" si="21"/>
        <v>91612</v>
      </c>
      <c r="BN40" s="60">
        <v>0</v>
      </c>
      <c r="BO40" s="60">
        <f t="shared" si="12"/>
        <v>12569.166400000002</v>
      </c>
      <c r="BP40" s="60">
        <v>91612</v>
      </c>
      <c r="BQ40" s="98">
        <f t="shared" si="22"/>
        <v>65.01916252661462</v>
      </c>
      <c r="BR40" s="60">
        <v>1409</v>
      </c>
      <c r="BS40" s="95">
        <f t="shared" si="23"/>
        <v>0</v>
      </c>
      <c r="BT40" s="95"/>
      <c r="BU40" s="72" t="s">
        <v>99</v>
      </c>
      <c r="BV40" s="66">
        <v>20</v>
      </c>
    </row>
    <row r="41" spans="14:74" ht="41.25" customHeight="1" thickBot="1">
      <c r="N41" s="84"/>
      <c r="O41" s="85">
        <v>21</v>
      </c>
      <c r="P41" s="86"/>
      <c r="Q41" s="86"/>
      <c r="R41" s="86"/>
      <c r="S41" s="85">
        <f t="shared" si="0"/>
        <v>30333293.7</v>
      </c>
      <c r="T41" s="87">
        <v>91.1</v>
      </c>
      <c r="U41" s="87">
        <f t="shared" si="1"/>
        <v>29584117.95</v>
      </c>
      <c r="V41" s="87">
        <v>88.85</v>
      </c>
      <c r="W41" s="88">
        <f t="shared" si="13"/>
        <v>221.978</v>
      </c>
      <c r="X41" s="88">
        <f t="shared" si="14"/>
        <v>221.978</v>
      </c>
      <c r="Y41" s="89">
        <v>6030</v>
      </c>
      <c r="Z41" s="89">
        <v>22211</v>
      </c>
      <c r="AA41" s="90"/>
      <c r="AB41" s="90"/>
      <c r="AC41" s="91">
        <f t="shared" si="2"/>
        <v>4.16033394309498</v>
      </c>
      <c r="AD41" s="92">
        <v>13714</v>
      </c>
      <c r="AE41" s="177">
        <v>21</v>
      </c>
      <c r="AF41" s="93">
        <f t="shared" si="15"/>
        <v>2.486</v>
      </c>
      <c r="AG41" s="93">
        <f t="shared" si="3"/>
        <v>0</v>
      </c>
      <c r="AH41" s="93">
        <v>0</v>
      </c>
      <c r="AI41" s="93">
        <f t="shared" si="4"/>
        <v>28302.195000000003</v>
      </c>
      <c r="AJ41" s="93">
        <v>0.085</v>
      </c>
      <c r="AK41" s="93">
        <f t="shared" si="5"/>
        <v>725868.06</v>
      </c>
      <c r="AL41" s="93">
        <v>2.18</v>
      </c>
      <c r="AM41" s="93">
        <f t="shared" si="25"/>
        <v>4994.505</v>
      </c>
      <c r="AN41" s="93">
        <v>0.015</v>
      </c>
      <c r="AO41" s="93">
        <f t="shared" si="6"/>
        <v>68591.20199999999</v>
      </c>
      <c r="AP41" s="93">
        <v>0.206</v>
      </c>
      <c r="AQ41" s="93">
        <f t="shared" si="26"/>
        <v>50774.4</v>
      </c>
      <c r="AR41" s="94">
        <f t="shared" si="27"/>
        <v>9.066857142857144</v>
      </c>
      <c r="AS41" s="94">
        <f t="shared" si="7"/>
        <v>58702.0821</v>
      </c>
      <c r="AT41" s="94">
        <f t="shared" si="16"/>
        <v>83.92206585803538</v>
      </c>
      <c r="AU41" s="94">
        <f t="shared" si="8"/>
        <v>14.795460210771639</v>
      </c>
      <c r="AV41" s="94">
        <f t="shared" si="9"/>
        <v>14.944924265176542</v>
      </c>
      <c r="AW41" s="94"/>
      <c r="AX41" s="95">
        <f t="shared" si="17"/>
        <v>49264</v>
      </c>
      <c r="AY41" s="95">
        <v>0</v>
      </c>
      <c r="AZ41" s="95">
        <v>0</v>
      </c>
      <c r="BA41" s="95">
        <v>49264</v>
      </c>
      <c r="BB41" s="96">
        <f t="shared" si="18"/>
        <v>0.1999999999999993</v>
      </c>
      <c r="BC41" s="96">
        <f t="shared" si="10"/>
        <v>5803614.81</v>
      </c>
      <c r="BD41" s="96">
        <v>17.43</v>
      </c>
      <c r="BE41" s="96">
        <f t="shared" si="11"/>
        <v>5870208.21</v>
      </c>
      <c r="BF41" s="96">
        <v>17.63</v>
      </c>
      <c r="BG41" s="87">
        <v>152</v>
      </c>
      <c r="BH41" s="59" t="s">
        <v>145</v>
      </c>
      <c r="BI41" s="59" t="s">
        <v>146</v>
      </c>
      <c r="BJ41" s="60">
        <f t="shared" si="19"/>
        <v>2168.6644736842104</v>
      </c>
      <c r="BK41" s="97">
        <f t="shared" si="20"/>
        <v>1.0000991089207039</v>
      </c>
      <c r="BL41" s="60">
        <v>329637</v>
      </c>
      <c r="BM41" s="60">
        <f t="shared" si="21"/>
        <v>332967</v>
      </c>
      <c r="BN41" s="60">
        <v>44967</v>
      </c>
      <c r="BO41" s="60">
        <f t="shared" si="12"/>
        <v>50774.4</v>
      </c>
      <c r="BP41" s="60">
        <v>288000</v>
      </c>
      <c r="BQ41" s="98">
        <f t="shared" si="22"/>
        <v>51.42857142857143</v>
      </c>
      <c r="BR41" s="60">
        <v>5600</v>
      </c>
      <c r="BS41" s="95">
        <f t="shared" si="23"/>
        <v>150000</v>
      </c>
      <c r="BT41" s="95">
        <v>1500</v>
      </c>
      <c r="BU41" s="73" t="s">
        <v>176</v>
      </c>
      <c r="BV41" s="66">
        <f t="shared" si="24"/>
        <v>21</v>
      </c>
    </row>
    <row r="42" spans="14:74" ht="43.5" customHeight="1" thickBot="1">
      <c r="N42" s="84"/>
      <c r="O42" s="85">
        <v>21</v>
      </c>
      <c r="P42" s="86"/>
      <c r="Q42" s="86"/>
      <c r="R42" s="86"/>
      <c r="S42" s="85">
        <f t="shared" si="0"/>
        <v>13054223</v>
      </c>
      <c r="T42" s="87">
        <v>91</v>
      </c>
      <c r="U42" s="87">
        <f t="shared" si="1"/>
        <v>12732888.280000001</v>
      </c>
      <c r="V42" s="87">
        <v>88.76</v>
      </c>
      <c r="W42" s="88"/>
      <c r="X42" s="88"/>
      <c r="Y42" s="89">
        <v>959</v>
      </c>
      <c r="Z42" s="89">
        <v>10000</v>
      </c>
      <c r="AA42" s="90"/>
      <c r="AB42" s="90"/>
      <c r="AC42" s="91">
        <f t="shared" si="2"/>
        <v>4.6909090909090905</v>
      </c>
      <c r="AD42" s="92">
        <v>6708</v>
      </c>
      <c r="AE42" s="177">
        <v>21</v>
      </c>
      <c r="AF42" s="93">
        <f t="shared" si="15"/>
        <v>2.414</v>
      </c>
      <c r="AG42" s="93">
        <f t="shared" si="3"/>
        <v>0</v>
      </c>
      <c r="AH42" s="93">
        <v>0</v>
      </c>
      <c r="AI42" s="93">
        <f t="shared" si="4"/>
        <v>1864.889</v>
      </c>
      <c r="AJ42" s="93">
        <v>0.013</v>
      </c>
      <c r="AK42" s="93">
        <f t="shared" si="5"/>
        <v>315596.60000000003</v>
      </c>
      <c r="AL42" s="93">
        <v>2.2</v>
      </c>
      <c r="AM42" s="93">
        <f t="shared" si="25"/>
        <v>1721.4360000000001</v>
      </c>
      <c r="AN42" s="93">
        <v>0.012</v>
      </c>
      <c r="AO42" s="93">
        <f t="shared" si="6"/>
        <v>27112.617000000002</v>
      </c>
      <c r="AP42" s="93">
        <v>0.189</v>
      </c>
      <c r="AQ42" s="93">
        <f t="shared" si="26"/>
        <v>21948.308999999997</v>
      </c>
      <c r="AR42" s="94">
        <f t="shared" si="27"/>
        <v>10.732669437652811</v>
      </c>
      <c r="AS42" s="94">
        <f t="shared" si="7"/>
        <v>21948.308999999997</v>
      </c>
      <c r="AT42" s="94">
        <f t="shared" si="16"/>
        <v>82.00176150244651</v>
      </c>
      <c r="AU42" s="94">
        <f t="shared" si="8"/>
        <v>12.546269509874314</v>
      </c>
      <c r="AV42" s="94">
        <f t="shared" si="9"/>
        <v>12.586013986013986</v>
      </c>
      <c r="AW42" s="94"/>
      <c r="AX42" s="95">
        <f t="shared" si="17"/>
        <v>17998</v>
      </c>
      <c r="AY42" s="95">
        <v>0</v>
      </c>
      <c r="AZ42" s="95">
        <v>0</v>
      </c>
      <c r="BA42" s="95">
        <v>17998</v>
      </c>
      <c r="BB42" s="96">
        <f t="shared" si="18"/>
        <v>0.3000000000000007</v>
      </c>
      <c r="BC42" s="96">
        <f t="shared" si="10"/>
        <v>2151795</v>
      </c>
      <c r="BD42" s="96">
        <v>15</v>
      </c>
      <c r="BE42" s="96">
        <f t="shared" si="11"/>
        <v>2194830.9</v>
      </c>
      <c r="BF42" s="96">
        <v>15.3</v>
      </c>
      <c r="BG42" s="87">
        <v>70</v>
      </c>
      <c r="BH42" s="59" t="s">
        <v>129</v>
      </c>
      <c r="BI42" s="59" t="s">
        <v>128</v>
      </c>
      <c r="BJ42" s="60">
        <f t="shared" si="19"/>
        <v>2042.857142857143</v>
      </c>
      <c r="BK42" s="97">
        <f t="shared" si="20"/>
        <v>0.31578286965068697</v>
      </c>
      <c r="BL42" s="60">
        <v>143000</v>
      </c>
      <c r="BM42" s="60">
        <f t="shared" si="21"/>
        <v>143453</v>
      </c>
      <c r="BN42" s="60">
        <v>0</v>
      </c>
      <c r="BO42" s="60">
        <f t="shared" si="12"/>
        <v>21948.308999999997</v>
      </c>
      <c r="BP42" s="60">
        <v>143453</v>
      </c>
      <c r="BQ42" s="98">
        <f t="shared" si="22"/>
        <v>70.1481662591687</v>
      </c>
      <c r="BR42" s="60">
        <v>2045</v>
      </c>
      <c r="BS42" s="95">
        <f t="shared" si="23"/>
        <v>0</v>
      </c>
      <c r="BT42" s="95"/>
      <c r="BU42" s="73" t="s">
        <v>94</v>
      </c>
      <c r="BV42" s="66">
        <v>21</v>
      </c>
    </row>
    <row r="43" spans="14:74" ht="42.75" customHeight="1" thickBot="1">
      <c r="N43" s="84"/>
      <c r="O43" s="85">
        <v>22</v>
      </c>
      <c r="P43" s="86"/>
      <c r="Q43" s="86"/>
      <c r="R43" s="86"/>
      <c r="S43" s="85">
        <f t="shared" si="0"/>
        <v>17689305.26</v>
      </c>
      <c r="T43" s="87">
        <v>90.01</v>
      </c>
      <c r="U43" s="87">
        <f t="shared" si="1"/>
        <v>17068283.099999998</v>
      </c>
      <c r="V43" s="87">
        <v>86.85</v>
      </c>
      <c r="W43" s="88">
        <f t="shared" si="13"/>
        <v>131.01733333333334</v>
      </c>
      <c r="X43" s="88">
        <f t="shared" si="14"/>
        <v>131.01733333333334</v>
      </c>
      <c r="Y43" s="89">
        <v>2171</v>
      </c>
      <c r="Z43" s="89">
        <v>15415</v>
      </c>
      <c r="AA43" s="90"/>
      <c r="AB43" s="90"/>
      <c r="AC43" s="91">
        <f t="shared" si="2"/>
        <v>5.835521478836257</v>
      </c>
      <c r="AD43" s="92">
        <v>11112</v>
      </c>
      <c r="AE43" s="177">
        <v>22</v>
      </c>
      <c r="AF43" s="93">
        <f t="shared" si="15"/>
        <v>3.049</v>
      </c>
      <c r="AG43" s="93">
        <f t="shared" si="3"/>
        <v>0</v>
      </c>
      <c r="AH43" s="93">
        <v>0</v>
      </c>
      <c r="AI43" s="93">
        <f t="shared" si="4"/>
        <v>19849.126</v>
      </c>
      <c r="AJ43" s="93">
        <v>0.101</v>
      </c>
      <c r="AK43" s="93">
        <f t="shared" si="5"/>
        <v>474806.816</v>
      </c>
      <c r="AL43" s="93">
        <v>2.416</v>
      </c>
      <c r="AM43" s="93">
        <f t="shared" si="25"/>
        <v>18473.444</v>
      </c>
      <c r="AN43" s="93">
        <v>0.094</v>
      </c>
      <c r="AO43" s="93">
        <f t="shared" si="6"/>
        <v>86078.388</v>
      </c>
      <c r="AP43" s="93">
        <v>0.438</v>
      </c>
      <c r="AQ43" s="93">
        <f t="shared" si="26"/>
        <v>35865.995</v>
      </c>
      <c r="AR43" s="94">
        <f t="shared" si="27"/>
        <v>7.979086763070079</v>
      </c>
      <c r="AS43" s="94">
        <f t="shared" si="7"/>
        <v>35865.995</v>
      </c>
      <c r="AT43" s="94">
        <f t="shared" si="16"/>
        <v>80.31005413344869</v>
      </c>
      <c r="AU43" s="94">
        <f t="shared" si="8"/>
        <v>14.656584879354387</v>
      </c>
      <c r="AV43" s="94">
        <f t="shared" si="9"/>
        <v>15.126562335889087</v>
      </c>
      <c r="AW43" s="94"/>
      <c r="AX43" s="95">
        <f t="shared" si="17"/>
        <v>28804</v>
      </c>
      <c r="AY43" s="95">
        <v>130</v>
      </c>
      <c r="AZ43" s="95">
        <v>0</v>
      </c>
      <c r="BA43" s="95">
        <v>28674</v>
      </c>
      <c r="BB43" s="96">
        <f t="shared" si="18"/>
        <v>0.0799999999999983</v>
      </c>
      <c r="BC43" s="96">
        <f t="shared" si="10"/>
        <v>3570877.4200000004</v>
      </c>
      <c r="BD43" s="96">
        <v>18.17</v>
      </c>
      <c r="BE43" s="96">
        <f t="shared" si="11"/>
        <v>3586599.5</v>
      </c>
      <c r="BF43" s="96">
        <v>18.25</v>
      </c>
      <c r="BG43" s="87">
        <v>121</v>
      </c>
      <c r="BH43" s="59" t="s">
        <v>116</v>
      </c>
      <c r="BI43" s="59" t="s">
        <v>115</v>
      </c>
      <c r="BJ43" s="60">
        <f t="shared" si="19"/>
        <v>1573.719008264463</v>
      </c>
      <c r="BK43" s="97">
        <f t="shared" si="20"/>
        <v>3.106968034763848</v>
      </c>
      <c r="BL43" s="60">
        <v>190420</v>
      </c>
      <c r="BM43" s="60">
        <f t="shared" si="21"/>
        <v>196526</v>
      </c>
      <c r="BN43" s="60">
        <v>0</v>
      </c>
      <c r="BO43" s="60">
        <f t="shared" si="12"/>
        <v>35865.995</v>
      </c>
      <c r="BP43" s="60">
        <v>196526</v>
      </c>
      <c r="BQ43" s="98">
        <f t="shared" si="22"/>
        <v>43.7210233592881</v>
      </c>
      <c r="BR43" s="60">
        <v>4495</v>
      </c>
      <c r="BS43" s="95">
        <f t="shared" si="23"/>
        <v>150000</v>
      </c>
      <c r="BT43" s="95">
        <v>1500</v>
      </c>
      <c r="BU43" s="74" t="s">
        <v>31</v>
      </c>
      <c r="BV43" s="66">
        <f>SUM(BV41,1)</f>
        <v>22</v>
      </c>
    </row>
    <row r="44" spans="14:74" ht="41.25" customHeight="1" thickBot="1">
      <c r="N44" s="84"/>
      <c r="O44" s="85">
        <v>23</v>
      </c>
      <c r="P44" s="86"/>
      <c r="Q44" s="86"/>
      <c r="R44" s="86"/>
      <c r="S44" s="85">
        <f t="shared" si="0"/>
        <v>7901068.4</v>
      </c>
      <c r="T44" s="87">
        <v>89.2</v>
      </c>
      <c r="U44" s="87">
        <f t="shared" si="1"/>
        <v>7635337.4</v>
      </c>
      <c r="V44" s="87">
        <v>86.2</v>
      </c>
      <c r="W44" s="88">
        <f t="shared" si="13"/>
        <v>59.05133333333333</v>
      </c>
      <c r="X44" s="88">
        <f t="shared" si="14"/>
        <v>59.05133333333333</v>
      </c>
      <c r="Y44" s="89"/>
      <c r="Z44" s="89"/>
      <c r="AA44" s="90"/>
      <c r="AB44" s="90"/>
      <c r="AC44" s="91">
        <f t="shared" si="2"/>
        <v>5.899653979238755</v>
      </c>
      <c r="AD44" s="92">
        <v>5115</v>
      </c>
      <c r="AE44" s="177">
        <v>23</v>
      </c>
      <c r="AF44" s="93">
        <f t="shared" si="15"/>
        <v>3.17</v>
      </c>
      <c r="AG44" s="93">
        <f t="shared" si="3"/>
        <v>0</v>
      </c>
      <c r="AH44" s="93">
        <v>0</v>
      </c>
      <c r="AI44" s="93">
        <f t="shared" si="4"/>
        <v>6200.39</v>
      </c>
      <c r="AJ44" s="93">
        <v>0.07</v>
      </c>
      <c r="AK44" s="93">
        <f t="shared" si="5"/>
        <v>248015.59999999998</v>
      </c>
      <c r="AL44" s="93">
        <v>2.8</v>
      </c>
      <c r="AM44" s="93">
        <f t="shared" si="25"/>
        <v>8857.7</v>
      </c>
      <c r="AN44" s="93">
        <v>0.1</v>
      </c>
      <c r="AO44" s="93">
        <f t="shared" si="6"/>
        <v>17715.4</v>
      </c>
      <c r="AP44" s="93">
        <v>0.2</v>
      </c>
      <c r="AQ44" s="93">
        <f t="shared" si="26"/>
        <v>14792.358999999999</v>
      </c>
      <c r="AR44" s="94">
        <f t="shared" si="27"/>
        <v>6.431460434782608</v>
      </c>
      <c r="AS44" s="94">
        <f t="shared" si="7"/>
        <v>14792.358999999999</v>
      </c>
      <c r="AT44" s="94">
        <f t="shared" si="16"/>
        <v>78.4323852605254</v>
      </c>
      <c r="AU44" s="94">
        <f t="shared" si="8"/>
        <v>13.098208338507739</v>
      </c>
      <c r="AV44" s="94">
        <f t="shared" si="9"/>
        <v>13.381776239907728</v>
      </c>
      <c r="AW44" s="94"/>
      <c r="AX44" s="95">
        <f t="shared" si="17"/>
        <v>11602</v>
      </c>
      <c r="AY44" s="95">
        <v>0</v>
      </c>
      <c r="AZ44" s="95">
        <v>0</v>
      </c>
      <c r="BA44" s="95">
        <v>11602</v>
      </c>
      <c r="BB44" s="96">
        <f t="shared" si="18"/>
        <v>0.09999999999999787</v>
      </c>
      <c r="BC44" s="96">
        <f t="shared" si="10"/>
        <v>1470378.2000000002</v>
      </c>
      <c r="BD44" s="96">
        <v>16.6</v>
      </c>
      <c r="BE44" s="96">
        <f t="shared" si="11"/>
        <v>1479235.9</v>
      </c>
      <c r="BF44" s="96">
        <v>16.7</v>
      </c>
      <c r="BG44" s="87">
        <v>101</v>
      </c>
      <c r="BH44" s="59" t="s">
        <v>179</v>
      </c>
      <c r="BI44" s="59" t="s">
        <v>153</v>
      </c>
      <c r="BJ44" s="60">
        <f t="shared" si="19"/>
        <v>858.4158415841584</v>
      </c>
      <c r="BK44" s="97">
        <f t="shared" si="20"/>
        <v>2.119060252661526</v>
      </c>
      <c r="BL44" s="60">
        <v>86700</v>
      </c>
      <c r="BM44" s="60">
        <f t="shared" si="21"/>
        <v>88577</v>
      </c>
      <c r="BN44" s="60">
        <v>0</v>
      </c>
      <c r="BO44" s="60">
        <f t="shared" si="12"/>
        <v>14792.358999999999</v>
      </c>
      <c r="BP44" s="60">
        <v>88577</v>
      </c>
      <c r="BQ44" s="98">
        <f t="shared" si="22"/>
        <v>38.51173913043478</v>
      </c>
      <c r="BR44" s="60">
        <v>2300</v>
      </c>
      <c r="BS44" s="95">
        <f t="shared" si="23"/>
        <v>150000</v>
      </c>
      <c r="BT44" s="95">
        <v>1500</v>
      </c>
      <c r="BU44" s="74" t="s">
        <v>32</v>
      </c>
      <c r="BV44" s="66">
        <f t="shared" si="24"/>
        <v>23</v>
      </c>
    </row>
    <row r="45" spans="14:74" ht="42" customHeight="1" thickBot="1">
      <c r="N45" s="84"/>
      <c r="O45" s="85">
        <v>24</v>
      </c>
      <c r="P45" s="86"/>
      <c r="Q45" s="86"/>
      <c r="R45" s="86"/>
      <c r="S45" s="85">
        <f t="shared" si="0"/>
        <v>5208727.2</v>
      </c>
      <c r="T45" s="87">
        <v>89.16</v>
      </c>
      <c r="U45" s="87">
        <f t="shared" si="1"/>
        <v>5025288.399999999</v>
      </c>
      <c r="V45" s="87">
        <v>86.02</v>
      </c>
      <c r="W45" s="88">
        <f t="shared" si="13"/>
        <v>73.02499999999999</v>
      </c>
      <c r="X45" s="88">
        <f t="shared" si="14"/>
        <v>73.02499999999999</v>
      </c>
      <c r="Y45" s="89">
        <v>0</v>
      </c>
      <c r="Z45" s="89">
        <v>4200</v>
      </c>
      <c r="AA45" s="90"/>
      <c r="AB45" s="90"/>
      <c r="AC45" s="91">
        <f t="shared" si="2"/>
        <v>5.332261521972133</v>
      </c>
      <c r="AD45" s="92">
        <v>2985</v>
      </c>
      <c r="AE45" s="177">
        <v>24</v>
      </c>
      <c r="AF45" s="93">
        <f t="shared" si="15"/>
        <v>4</v>
      </c>
      <c r="AG45" s="93">
        <f t="shared" si="3"/>
        <v>0</v>
      </c>
      <c r="AH45" s="93">
        <v>0</v>
      </c>
      <c r="AI45" s="93">
        <f t="shared" si="4"/>
        <v>18110.2</v>
      </c>
      <c r="AJ45" s="93">
        <v>0.31</v>
      </c>
      <c r="AK45" s="93">
        <f t="shared" si="5"/>
        <v>151892</v>
      </c>
      <c r="AL45" s="93">
        <v>2.6</v>
      </c>
      <c r="AM45" s="93">
        <f t="shared" si="25"/>
        <v>11099.8</v>
      </c>
      <c r="AN45" s="93">
        <v>0.19</v>
      </c>
      <c r="AO45" s="93">
        <f t="shared" si="6"/>
        <v>52578</v>
      </c>
      <c r="AP45" s="93">
        <v>0.9</v>
      </c>
      <c r="AQ45" s="93">
        <f t="shared" si="26"/>
        <v>9798.924200000001</v>
      </c>
      <c r="AR45" s="94">
        <f t="shared" si="27"/>
        <v>7.537634000000001</v>
      </c>
      <c r="AS45" s="94">
        <f t="shared" si="7"/>
        <v>10176.764000000001</v>
      </c>
      <c r="AT45" s="94">
        <f t="shared" si="16"/>
        <v>73.43198682803295</v>
      </c>
      <c r="AU45" s="94">
        <f t="shared" si="8"/>
        <v>12.791852105443342</v>
      </c>
      <c r="AV45" s="94">
        <f t="shared" si="9"/>
        <v>13.349410503751342</v>
      </c>
      <c r="AW45" s="94"/>
      <c r="AX45" s="95">
        <f t="shared" si="17"/>
        <v>7473</v>
      </c>
      <c r="AY45" s="95">
        <v>0</v>
      </c>
      <c r="AZ45" s="95">
        <v>0</v>
      </c>
      <c r="BA45" s="95">
        <v>7473</v>
      </c>
      <c r="BB45" s="96">
        <f t="shared" si="18"/>
        <v>0.07000000000000028</v>
      </c>
      <c r="BC45" s="96">
        <f t="shared" si="10"/>
        <v>1013587.0000000001</v>
      </c>
      <c r="BD45" s="96">
        <v>17.35</v>
      </c>
      <c r="BE45" s="96">
        <f t="shared" si="11"/>
        <v>1017676.4000000001</v>
      </c>
      <c r="BF45" s="96">
        <v>17.42</v>
      </c>
      <c r="BG45" s="87">
        <v>112</v>
      </c>
      <c r="BH45" s="59" t="s">
        <v>121</v>
      </c>
      <c r="BI45" s="59" t="s">
        <v>120</v>
      </c>
      <c r="BJ45" s="60">
        <f t="shared" si="19"/>
        <v>499.82142857142856</v>
      </c>
      <c r="BK45" s="97">
        <f t="shared" si="20"/>
        <v>4.1766518315645325</v>
      </c>
      <c r="BL45" s="60">
        <v>55980</v>
      </c>
      <c r="BM45" s="60">
        <f t="shared" si="21"/>
        <v>58420</v>
      </c>
      <c r="BN45" s="60">
        <v>2169</v>
      </c>
      <c r="BO45" s="60">
        <f t="shared" si="12"/>
        <v>9798.924200000001</v>
      </c>
      <c r="BP45" s="60">
        <v>56251</v>
      </c>
      <c r="BQ45" s="98">
        <f t="shared" si="22"/>
        <v>43.27</v>
      </c>
      <c r="BR45" s="60">
        <v>1300</v>
      </c>
      <c r="BS45" s="95">
        <f t="shared" si="23"/>
        <v>80000</v>
      </c>
      <c r="BT45" s="95">
        <v>800</v>
      </c>
      <c r="BU45" s="74" t="s">
        <v>33</v>
      </c>
      <c r="BV45" s="66">
        <f t="shared" si="24"/>
        <v>24</v>
      </c>
    </row>
    <row r="46" spans="14:74" ht="39.75" customHeight="1" thickBot="1">
      <c r="N46" s="84"/>
      <c r="O46" s="85">
        <v>25</v>
      </c>
      <c r="P46" s="86"/>
      <c r="Q46" s="86"/>
      <c r="R46" s="86"/>
      <c r="S46" s="85">
        <f t="shared" si="0"/>
        <v>17110187.5</v>
      </c>
      <c r="T46" s="87">
        <v>92.5</v>
      </c>
      <c r="U46" s="87">
        <f t="shared" si="1"/>
        <v>16631102.25</v>
      </c>
      <c r="V46" s="87">
        <v>89.91</v>
      </c>
      <c r="W46" s="88">
        <f>(BS51/7365000)*100</f>
        <v>94.43312966734555</v>
      </c>
      <c r="X46" s="88">
        <f t="shared" si="14"/>
        <v>112.10606060606061</v>
      </c>
      <c r="Y46" s="89">
        <v>46105</v>
      </c>
      <c r="Z46" s="89">
        <v>10556</v>
      </c>
      <c r="AA46" s="90"/>
      <c r="AB46" s="90"/>
      <c r="AC46" s="91">
        <f t="shared" si="2"/>
        <v>3.2198243140657197</v>
      </c>
      <c r="AD46" s="92">
        <v>5938</v>
      </c>
      <c r="AE46" s="177">
        <v>25</v>
      </c>
      <c r="AF46" s="93">
        <f t="shared" si="15"/>
        <v>1.83</v>
      </c>
      <c r="AG46" s="93">
        <f t="shared" si="3"/>
        <v>0</v>
      </c>
      <c r="AH46" s="93">
        <v>0</v>
      </c>
      <c r="AI46" s="93">
        <f t="shared" si="4"/>
        <v>12948.250000000002</v>
      </c>
      <c r="AJ46" s="93">
        <v>0.07</v>
      </c>
      <c r="AK46" s="93">
        <f t="shared" si="5"/>
        <v>297809.75</v>
      </c>
      <c r="AL46" s="93">
        <v>1.61</v>
      </c>
      <c r="AM46" s="93">
        <f t="shared" si="25"/>
        <v>5549.25</v>
      </c>
      <c r="AN46" s="93">
        <v>0.03</v>
      </c>
      <c r="AO46" s="93">
        <f t="shared" si="6"/>
        <v>22197</v>
      </c>
      <c r="AP46" s="93">
        <v>0.12</v>
      </c>
      <c r="AQ46" s="93">
        <f t="shared" si="26"/>
        <v>23290</v>
      </c>
      <c r="AR46" s="94">
        <f t="shared" si="27"/>
        <v>7.636065573770492</v>
      </c>
      <c r="AS46" s="94">
        <f t="shared" si="7"/>
        <v>31445.75</v>
      </c>
      <c r="AT46" s="94">
        <f t="shared" si="16"/>
        <v>87.80836838046477</v>
      </c>
      <c r="AU46" s="94">
        <f t="shared" si="8"/>
        <v>14.92742262467901</v>
      </c>
      <c r="AV46" s="94">
        <f t="shared" si="9"/>
        <v>14.972345732566966</v>
      </c>
      <c r="AW46" s="94"/>
      <c r="AX46" s="95">
        <f t="shared" si="17"/>
        <v>27612</v>
      </c>
      <c r="AY46" s="95">
        <v>55</v>
      </c>
      <c r="AZ46" s="95">
        <v>0</v>
      </c>
      <c r="BA46" s="95">
        <v>27557</v>
      </c>
      <c r="BB46" s="96">
        <f t="shared" si="18"/>
        <v>0.23000000000000043</v>
      </c>
      <c r="BC46" s="96">
        <f t="shared" si="10"/>
        <v>3102030.75</v>
      </c>
      <c r="BD46" s="96">
        <v>16.77</v>
      </c>
      <c r="BE46" s="96">
        <f t="shared" si="11"/>
        <v>3144575</v>
      </c>
      <c r="BF46" s="96">
        <v>17</v>
      </c>
      <c r="BG46" s="87">
        <v>102</v>
      </c>
      <c r="BH46" s="59" t="s">
        <v>107</v>
      </c>
      <c r="BI46" s="59" t="s">
        <v>117</v>
      </c>
      <c r="BJ46" s="60">
        <f t="shared" si="19"/>
        <v>1808.0392156862745</v>
      </c>
      <c r="BK46" s="97">
        <f t="shared" si="20"/>
        <v>0.3000405460197324</v>
      </c>
      <c r="BL46" s="60">
        <v>184420</v>
      </c>
      <c r="BM46" s="60">
        <f t="shared" si="21"/>
        <v>184975</v>
      </c>
      <c r="BN46" s="60">
        <v>47975</v>
      </c>
      <c r="BO46" s="60">
        <f t="shared" si="12"/>
        <v>23290</v>
      </c>
      <c r="BP46" s="60">
        <v>137000</v>
      </c>
      <c r="BQ46" s="98">
        <f t="shared" si="22"/>
        <v>44.91803278688525</v>
      </c>
      <c r="BR46" s="60">
        <v>3050</v>
      </c>
      <c r="BS46" s="95">
        <f t="shared" si="23"/>
        <v>165000</v>
      </c>
      <c r="BT46" s="95">
        <v>1650</v>
      </c>
      <c r="BU46" s="74" t="s">
        <v>102</v>
      </c>
      <c r="BV46" s="66">
        <f t="shared" si="24"/>
        <v>25</v>
      </c>
    </row>
    <row r="47" spans="14:74" ht="39" customHeight="1" thickBot="1">
      <c r="N47" s="84"/>
      <c r="O47" s="85">
        <v>26</v>
      </c>
      <c r="P47" s="86"/>
      <c r="Q47" s="86"/>
      <c r="R47" s="86"/>
      <c r="S47" s="85">
        <f t="shared" si="0"/>
        <v>0</v>
      </c>
      <c r="T47" s="87"/>
      <c r="U47" s="87">
        <f t="shared" si="1"/>
        <v>0</v>
      </c>
      <c r="V47" s="87"/>
      <c r="W47" s="88">
        <f t="shared" si="13"/>
        <v>0</v>
      </c>
      <c r="X47" s="88">
        <f t="shared" si="14"/>
        <v>0</v>
      </c>
      <c r="Y47" s="89"/>
      <c r="Z47" s="89"/>
      <c r="AA47" s="90"/>
      <c r="AB47" s="90"/>
      <c r="AC47" s="91"/>
      <c r="AD47" s="92"/>
      <c r="AE47" s="177">
        <v>26</v>
      </c>
      <c r="AF47" s="93">
        <f t="shared" si="15"/>
        <v>0</v>
      </c>
      <c r="AG47" s="93">
        <f t="shared" si="3"/>
        <v>0</v>
      </c>
      <c r="AH47" s="93"/>
      <c r="AI47" s="93">
        <f t="shared" si="4"/>
        <v>0</v>
      </c>
      <c r="AJ47" s="93"/>
      <c r="AK47" s="93">
        <f t="shared" si="5"/>
        <v>0</v>
      </c>
      <c r="AL47" s="93"/>
      <c r="AM47" s="93">
        <f t="shared" si="25"/>
        <v>0</v>
      </c>
      <c r="AN47" s="93"/>
      <c r="AO47" s="93">
        <f t="shared" si="6"/>
        <v>0</v>
      </c>
      <c r="AP47" s="93"/>
      <c r="AQ47" s="93">
        <f t="shared" si="26"/>
        <v>0</v>
      </c>
      <c r="AR47" s="94"/>
      <c r="AS47" s="94">
        <f t="shared" si="7"/>
        <v>0</v>
      </c>
      <c r="AT47" s="94"/>
      <c r="AU47" s="94"/>
      <c r="AV47" s="94"/>
      <c r="AW47" s="94"/>
      <c r="AX47" s="95">
        <f t="shared" si="17"/>
        <v>0</v>
      </c>
      <c r="AY47" s="95"/>
      <c r="AZ47" s="95"/>
      <c r="BA47" s="95"/>
      <c r="BB47" s="96">
        <f t="shared" si="18"/>
        <v>0</v>
      </c>
      <c r="BC47" s="96">
        <f t="shared" si="10"/>
        <v>0</v>
      </c>
      <c r="BD47" s="96"/>
      <c r="BE47" s="96">
        <f t="shared" si="11"/>
        <v>0</v>
      </c>
      <c r="BF47" s="96"/>
      <c r="BG47" s="87"/>
      <c r="BH47" s="59"/>
      <c r="BI47" s="59"/>
      <c r="BJ47" s="60"/>
      <c r="BK47" s="97"/>
      <c r="BL47" s="60"/>
      <c r="BM47" s="60">
        <f t="shared" si="21"/>
        <v>0</v>
      </c>
      <c r="BN47" s="60"/>
      <c r="BO47" s="60">
        <f t="shared" si="12"/>
        <v>0</v>
      </c>
      <c r="BP47" s="60"/>
      <c r="BQ47" s="98"/>
      <c r="BR47" s="60"/>
      <c r="BS47" s="95">
        <f t="shared" si="23"/>
        <v>500000</v>
      </c>
      <c r="BT47" s="95">
        <v>5000</v>
      </c>
      <c r="BU47" s="75" t="s">
        <v>34</v>
      </c>
      <c r="BV47" s="66">
        <v>26</v>
      </c>
    </row>
    <row r="48" spans="14:74" ht="40.5" customHeight="1" thickBot="1">
      <c r="N48" s="84"/>
      <c r="O48" s="85">
        <v>27</v>
      </c>
      <c r="P48" s="86"/>
      <c r="Q48" s="86"/>
      <c r="R48" s="86"/>
      <c r="S48" s="85">
        <f t="shared" si="0"/>
        <v>15704008.69</v>
      </c>
      <c r="T48" s="87">
        <v>91.81</v>
      </c>
      <c r="U48" s="87">
        <f t="shared" si="1"/>
        <v>15213098.06</v>
      </c>
      <c r="V48" s="87">
        <v>88.94</v>
      </c>
      <c r="W48" s="88">
        <f t="shared" si="13"/>
        <v>171.049</v>
      </c>
      <c r="X48" s="88">
        <f t="shared" si="14"/>
        <v>171.049</v>
      </c>
      <c r="Y48" s="89">
        <v>1090</v>
      </c>
      <c r="Z48" s="89">
        <v>11600</v>
      </c>
      <c r="AA48" s="90"/>
      <c r="AB48" s="90"/>
      <c r="AC48" s="91">
        <f t="shared" si="2"/>
        <v>3.430538922155689</v>
      </c>
      <c r="AD48" s="92">
        <v>5729</v>
      </c>
      <c r="AE48" s="177">
        <v>27</v>
      </c>
      <c r="AF48" s="93">
        <f t="shared" si="15"/>
        <v>2.0460000000000003</v>
      </c>
      <c r="AG48" s="93">
        <f t="shared" si="3"/>
        <v>0</v>
      </c>
      <c r="AH48" s="93">
        <v>0</v>
      </c>
      <c r="AI48" s="93">
        <f t="shared" si="4"/>
        <v>9407.695</v>
      </c>
      <c r="AJ48" s="93">
        <v>0.055</v>
      </c>
      <c r="AK48" s="93">
        <f t="shared" si="5"/>
        <v>293349.03500000003</v>
      </c>
      <c r="AL48" s="93">
        <v>1.715</v>
      </c>
      <c r="AM48" s="93">
        <f t="shared" si="25"/>
        <v>4447.273999999999</v>
      </c>
      <c r="AN48" s="93">
        <v>0.026</v>
      </c>
      <c r="AO48" s="93">
        <f t="shared" si="6"/>
        <v>42762.25</v>
      </c>
      <c r="AP48" s="93">
        <v>0.25</v>
      </c>
      <c r="AQ48" s="93">
        <f t="shared" si="26"/>
        <v>27909.765</v>
      </c>
      <c r="AR48" s="94">
        <f t="shared" si="27"/>
        <v>8.16075</v>
      </c>
      <c r="AS48" s="94">
        <f t="shared" si="7"/>
        <v>30019.0995</v>
      </c>
      <c r="AT48" s="94">
        <f t="shared" si="16"/>
        <v>86.0818626488113</v>
      </c>
      <c r="AU48" s="94">
        <f t="shared" si="8"/>
        <v>15.107366894866384</v>
      </c>
      <c r="AV48" s="94">
        <f t="shared" si="9"/>
        <v>15.473652694610779</v>
      </c>
      <c r="AW48" s="94"/>
      <c r="AX48" s="95">
        <f t="shared" si="17"/>
        <v>25841</v>
      </c>
      <c r="AY48" s="95">
        <v>0</v>
      </c>
      <c r="AZ48" s="95">
        <v>0</v>
      </c>
      <c r="BA48" s="95">
        <v>25841</v>
      </c>
      <c r="BB48" s="96">
        <f t="shared" si="18"/>
        <v>0.030000000000001137</v>
      </c>
      <c r="BC48" s="96">
        <f t="shared" si="10"/>
        <v>2996778.48</v>
      </c>
      <c r="BD48" s="96">
        <v>17.52</v>
      </c>
      <c r="BE48" s="96">
        <f t="shared" si="11"/>
        <v>3001909.95</v>
      </c>
      <c r="BF48" s="96">
        <v>17.55</v>
      </c>
      <c r="BG48" s="87">
        <v>121</v>
      </c>
      <c r="BH48" s="59" t="s">
        <v>158</v>
      </c>
      <c r="BI48" s="59" t="s">
        <v>146</v>
      </c>
      <c r="BJ48" s="60">
        <f t="shared" si="19"/>
        <v>1380.1652892561983</v>
      </c>
      <c r="BK48" s="97">
        <f t="shared" si="20"/>
        <v>2.367157948891838</v>
      </c>
      <c r="BL48" s="60">
        <v>167000</v>
      </c>
      <c r="BM48" s="60">
        <f t="shared" si="21"/>
        <v>171049</v>
      </c>
      <c r="BN48" s="60">
        <v>12019</v>
      </c>
      <c r="BO48" s="60">
        <f t="shared" si="12"/>
        <v>27909.765</v>
      </c>
      <c r="BP48" s="60">
        <v>159030</v>
      </c>
      <c r="BQ48" s="98">
        <f t="shared" si="22"/>
        <v>46.5</v>
      </c>
      <c r="BR48" s="60">
        <v>3420</v>
      </c>
      <c r="BS48" s="95">
        <f t="shared" si="23"/>
        <v>100000</v>
      </c>
      <c r="BT48" s="95">
        <v>1000</v>
      </c>
      <c r="BU48" s="76" t="s">
        <v>100</v>
      </c>
      <c r="BV48" s="66">
        <v>27</v>
      </c>
    </row>
    <row r="49" spans="14:74" ht="42.75" customHeight="1" thickBot="1">
      <c r="N49" s="84"/>
      <c r="O49" s="85">
        <v>27</v>
      </c>
      <c r="P49" s="86"/>
      <c r="Q49" s="86"/>
      <c r="R49" s="86"/>
      <c r="S49" s="85">
        <f t="shared" si="0"/>
        <v>5065187.399999999</v>
      </c>
      <c r="T49" s="87">
        <v>92.82</v>
      </c>
      <c r="U49" s="87">
        <f t="shared" si="1"/>
        <v>4808708.4</v>
      </c>
      <c r="V49" s="87">
        <v>88.12</v>
      </c>
      <c r="W49" s="88"/>
      <c r="X49" s="88"/>
      <c r="Y49" s="89">
        <v>536</v>
      </c>
      <c r="Z49" s="89">
        <v>3827</v>
      </c>
      <c r="AA49" s="90"/>
      <c r="AB49" s="90"/>
      <c r="AC49" s="91">
        <f t="shared" si="2"/>
        <v>3.7041860465116283</v>
      </c>
      <c r="AD49" s="92">
        <v>1991</v>
      </c>
      <c r="AE49" s="177">
        <v>27</v>
      </c>
      <c r="AF49" s="93">
        <f t="shared" si="15"/>
        <v>1.904</v>
      </c>
      <c r="AG49" s="93">
        <f t="shared" si="3"/>
        <v>0</v>
      </c>
      <c r="AH49" s="93">
        <v>0</v>
      </c>
      <c r="AI49" s="93">
        <f t="shared" si="4"/>
        <v>6821.25</v>
      </c>
      <c r="AJ49" s="93">
        <v>0.125</v>
      </c>
      <c r="AK49" s="93">
        <f t="shared" si="5"/>
        <v>86220.6</v>
      </c>
      <c r="AL49" s="93">
        <v>1.58</v>
      </c>
      <c r="AM49" s="93">
        <f t="shared" si="25"/>
        <v>1582.53</v>
      </c>
      <c r="AN49" s="93">
        <v>0.029</v>
      </c>
      <c r="AO49" s="93">
        <f t="shared" si="6"/>
        <v>9276.900000000001</v>
      </c>
      <c r="AP49" s="93">
        <v>0.17</v>
      </c>
      <c r="AQ49" s="93">
        <f t="shared" si="26"/>
        <v>6789.552000000001</v>
      </c>
      <c r="AR49" s="94">
        <f t="shared" si="27"/>
        <v>10.164000000000001</v>
      </c>
      <c r="AS49" s="94">
        <f t="shared" si="7"/>
        <v>8403.78</v>
      </c>
      <c r="AT49" s="94">
        <f t="shared" si="16"/>
        <v>85.44964289879078</v>
      </c>
      <c r="AU49" s="94">
        <f t="shared" si="8"/>
        <v>13.15924500641378</v>
      </c>
      <c r="AV49" s="94">
        <f t="shared" si="9"/>
        <v>13.36</v>
      </c>
      <c r="AW49" s="94"/>
      <c r="AX49" s="95">
        <f t="shared" si="17"/>
        <v>7181</v>
      </c>
      <c r="AY49" s="95">
        <v>0</v>
      </c>
      <c r="AZ49" s="95">
        <v>0</v>
      </c>
      <c r="BA49" s="95">
        <v>7181</v>
      </c>
      <c r="BB49" s="96">
        <f t="shared" si="18"/>
        <v>0.5199999999999996</v>
      </c>
      <c r="BC49" s="96">
        <f t="shared" si="10"/>
        <v>812001.6000000001</v>
      </c>
      <c r="BD49" s="96">
        <v>14.88</v>
      </c>
      <c r="BE49" s="96">
        <f t="shared" si="11"/>
        <v>840378</v>
      </c>
      <c r="BF49" s="96">
        <v>15.4</v>
      </c>
      <c r="BG49" s="87">
        <v>63</v>
      </c>
      <c r="BH49" s="59" t="s">
        <v>132</v>
      </c>
      <c r="BI49" s="59" t="s">
        <v>131</v>
      </c>
      <c r="BJ49" s="60">
        <f t="shared" si="19"/>
        <v>853.1746031746031</v>
      </c>
      <c r="BK49" s="97">
        <f t="shared" si="20"/>
        <v>1.5026571376214037</v>
      </c>
      <c r="BL49" s="60">
        <v>53750</v>
      </c>
      <c r="BM49" s="60">
        <f t="shared" si="21"/>
        <v>54570</v>
      </c>
      <c r="BN49" s="60">
        <v>10482</v>
      </c>
      <c r="BO49" s="60">
        <f t="shared" si="12"/>
        <v>6789.552000000001</v>
      </c>
      <c r="BP49" s="60">
        <v>44088</v>
      </c>
      <c r="BQ49" s="98">
        <f t="shared" si="22"/>
        <v>66</v>
      </c>
      <c r="BR49" s="60">
        <v>668</v>
      </c>
      <c r="BS49" s="95">
        <f t="shared" si="23"/>
        <v>0</v>
      </c>
      <c r="BT49" s="95"/>
      <c r="BU49" s="77" t="s">
        <v>95</v>
      </c>
      <c r="BV49" s="78">
        <v>27</v>
      </c>
    </row>
    <row r="50" spans="14:74" ht="42.75" customHeight="1" thickBot="1">
      <c r="N50" s="84"/>
      <c r="O50" s="85">
        <v>28</v>
      </c>
      <c r="P50" s="86"/>
      <c r="Q50" s="86"/>
      <c r="R50" s="86"/>
      <c r="S50" s="85">
        <f t="shared" si="0"/>
        <v>16743014.399999999</v>
      </c>
      <c r="T50" s="87">
        <v>89.6</v>
      </c>
      <c r="U50" s="87">
        <f t="shared" si="1"/>
        <v>15790008</v>
      </c>
      <c r="V50" s="87">
        <v>84.5</v>
      </c>
      <c r="W50" s="88">
        <f t="shared" si="13"/>
        <v>37.3728</v>
      </c>
      <c r="X50" s="88">
        <f t="shared" si="14"/>
        <v>37.3728</v>
      </c>
      <c r="Y50" s="89">
        <v>3117</v>
      </c>
      <c r="Z50" s="89">
        <v>9336</v>
      </c>
      <c r="AA50" s="90"/>
      <c r="AB50" s="90"/>
      <c r="AC50" s="91">
        <f t="shared" si="2"/>
        <v>4.619744767292644</v>
      </c>
      <c r="AD50" s="92">
        <v>8460</v>
      </c>
      <c r="AE50" s="177">
        <v>28</v>
      </c>
      <c r="AF50" s="93">
        <f t="shared" si="15"/>
        <v>3.0700000000000003</v>
      </c>
      <c r="AG50" s="93">
        <f t="shared" si="3"/>
        <v>0</v>
      </c>
      <c r="AH50" s="93">
        <v>0</v>
      </c>
      <c r="AI50" s="93">
        <f t="shared" si="4"/>
        <v>33635.52</v>
      </c>
      <c r="AJ50" s="93">
        <v>0.18</v>
      </c>
      <c r="AK50" s="93">
        <f t="shared" si="5"/>
        <v>431655.84</v>
      </c>
      <c r="AL50" s="93">
        <v>2.31</v>
      </c>
      <c r="AM50" s="93">
        <f t="shared" si="25"/>
        <v>18686.4</v>
      </c>
      <c r="AN50" s="93">
        <v>0.1</v>
      </c>
      <c r="AO50" s="93">
        <f t="shared" si="6"/>
        <v>89694.72</v>
      </c>
      <c r="AP50" s="93">
        <v>0.48</v>
      </c>
      <c r="AQ50" s="93">
        <f t="shared" si="26"/>
        <v>22127.218399999998</v>
      </c>
      <c r="AR50" s="94">
        <f t="shared" si="27"/>
        <v>7.322044473858371</v>
      </c>
      <c r="AS50" s="94">
        <f t="shared" si="7"/>
        <v>28851.801599999995</v>
      </c>
      <c r="AT50" s="94">
        <f t="shared" si="16"/>
        <v>73.2085999094074</v>
      </c>
      <c r="AU50" s="94">
        <f t="shared" si="8"/>
        <v>11.303407826012501</v>
      </c>
      <c r="AV50" s="94">
        <f t="shared" si="9"/>
        <v>11.534071982831588</v>
      </c>
      <c r="AW50" s="94"/>
      <c r="AX50" s="95">
        <f t="shared" si="17"/>
        <v>21122</v>
      </c>
      <c r="AY50" s="95">
        <v>10</v>
      </c>
      <c r="AZ50" s="95">
        <v>0</v>
      </c>
      <c r="BA50" s="95">
        <v>21112</v>
      </c>
      <c r="BB50" s="96">
        <f t="shared" si="18"/>
        <v>0.8399999999999999</v>
      </c>
      <c r="BC50" s="96">
        <f t="shared" si="10"/>
        <v>2728214.4</v>
      </c>
      <c r="BD50" s="96">
        <v>14.6</v>
      </c>
      <c r="BE50" s="96">
        <f t="shared" si="11"/>
        <v>2885180.1599999997</v>
      </c>
      <c r="BF50" s="96">
        <v>15.44</v>
      </c>
      <c r="BG50" s="87">
        <v>81</v>
      </c>
      <c r="BH50" s="59" t="s">
        <v>119</v>
      </c>
      <c r="BI50" s="59" t="s">
        <v>118</v>
      </c>
      <c r="BJ50" s="60">
        <f t="shared" si="19"/>
        <v>2260.8271604938273</v>
      </c>
      <c r="BK50" s="97">
        <f t="shared" si="20"/>
        <v>1.9998501584039727</v>
      </c>
      <c r="BL50" s="60">
        <v>183127</v>
      </c>
      <c r="BM50" s="60">
        <f t="shared" si="21"/>
        <v>186864</v>
      </c>
      <c r="BN50" s="60">
        <v>43553</v>
      </c>
      <c r="BO50" s="60">
        <f t="shared" si="12"/>
        <v>22127.218399999998</v>
      </c>
      <c r="BP50" s="60">
        <v>143311</v>
      </c>
      <c r="BQ50" s="98">
        <f t="shared" si="22"/>
        <v>47.42256783587028</v>
      </c>
      <c r="BR50" s="60">
        <v>3022</v>
      </c>
      <c r="BS50" s="95">
        <f t="shared" si="23"/>
        <v>500000</v>
      </c>
      <c r="BT50" s="95">
        <v>5000</v>
      </c>
      <c r="BU50" s="79" t="s">
        <v>35</v>
      </c>
      <c r="BV50" s="78">
        <f>SUM(BV48,1)</f>
        <v>28</v>
      </c>
    </row>
    <row r="51" spans="14:74" ht="48.75" customHeight="1" thickBot="1" thickTop="1">
      <c r="N51" s="123"/>
      <c r="O51" s="122"/>
      <c r="P51" s="122"/>
      <c r="Q51" s="122"/>
      <c r="R51" s="122"/>
      <c r="S51" s="122">
        <f>SUM(S15:S50)</f>
        <v>737684215.12</v>
      </c>
      <c r="T51" s="121">
        <f>(S51/BM51)</f>
        <v>91.41245049098842</v>
      </c>
      <c r="U51" s="121">
        <f>SUM(U15:U50)</f>
        <v>709979015.38</v>
      </c>
      <c r="V51" s="121">
        <f>(U51/BM51)</f>
        <v>87.97927387196084</v>
      </c>
      <c r="W51" s="121">
        <f>(7293797/7765000)*100</f>
        <v>93.93170637475853</v>
      </c>
      <c r="X51" s="121">
        <f>(7293797/BS51)*100</f>
        <v>104.8712724658519</v>
      </c>
      <c r="Y51" s="119">
        <f>SUM(Y15:Y50)</f>
        <v>465465</v>
      </c>
      <c r="Z51" s="119">
        <f>SUM(Z15:Z50)</f>
        <v>445752</v>
      </c>
      <c r="AA51" s="122"/>
      <c r="AB51" s="122"/>
      <c r="AC51" s="121">
        <f t="shared" si="2"/>
        <v>4.332283534521767</v>
      </c>
      <c r="AD51" s="119">
        <f>SUM(AD15:AD50)</f>
        <v>345246</v>
      </c>
      <c r="AE51" s="122"/>
      <c r="AF51" s="124">
        <f t="shared" si="15"/>
        <v>2.5317103069154747</v>
      </c>
      <c r="AG51" s="124">
        <f>SUM(AG15:AG50)</f>
        <v>101249.76000000001</v>
      </c>
      <c r="AH51" s="124">
        <f>(AG51/BM51)</f>
        <v>0.012546681199785276</v>
      </c>
      <c r="AI51" s="124">
        <f>SUM(AI15:AI50)</f>
        <v>953334.1260000002</v>
      </c>
      <c r="AJ51" s="124">
        <f>(AI51/BM51)</f>
        <v>0.11813538477323728</v>
      </c>
      <c r="AK51" s="124">
        <f>SUM(AK15:AK50)</f>
        <v>16268513.444000002</v>
      </c>
      <c r="AL51" s="124">
        <f>(AK51/BM51)</f>
        <v>2.0159638084701514</v>
      </c>
      <c r="AM51" s="124">
        <f>SUM(AM15:AM50)</f>
        <v>635147.8650000001</v>
      </c>
      <c r="AN51" s="124">
        <f>(AM51/BM51)</f>
        <v>0.07870633744592834</v>
      </c>
      <c r="AO51" s="124">
        <f>SUM(AO15:AO50)</f>
        <v>2472262.0349999997</v>
      </c>
      <c r="AP51" s="124">
        <f>(AO51/BM51)</f>
        <v>0.30635809502637223</v>
      </c>
      <c r="AQ51" s="125">
        <f>(BF51*BP51/100)</f>
        <v>1120083.1858683487</v>
      </c>
      <c r="AR51" s="121">
        <f>(AQ51/BR51)</f>
        <v>8.860296053255512</v>
      </c>
      <c r="AS51" s="121">
        <f t="shared" si="7"/>
        <v>1378189.1977000001</v>
      </c>
      <c r="AT51" s="126">
        <f t="shared" si="16"/>
        <v>82.951310451996</v>
      </c>
      <c r="AU51" s="121">
        <f t="shared" si="8"/>
        <v>14.166643122221444</v>
      </c>
      <c r="AV51" s="121">
        <f t="shared" si="9"/>
        <v>14.345652595648268</v>
      </c>
      <c r="AW51" s="45"/>
      <c r="AX51" s="54">
        <f>SUM(AX15:AX50)</f>
        <v>1143226</v>
      </c>
      <c r="AY51" s="119">
        <f>SUM(AY15:AY50)</f>
        <v>1385</v>
      </c>
      <c r="AZ51" s="119">
        <f>SUM(AZ15:AZ50)</f>
        <v>0</v>
      </c>
      <c r="BA51" s="120">
        <f>SUM(BA15:BA50)</f>
        <v>1141841</v>
      </c>
      <c r="BB51" s="121">
        <f t="shared" si="18"/>
        <v>0.26984460195265214</v>
      </c>
      <c r="BC51" s="121">
        <f>SUM(BC15:BC50)</f>
        <v>135641315.928</v>
      </c>
      <c r="BD51" s="121">
        <f>(BC51/BM51)</f>
        <v>16.80841859247837</v>
      </c>
      <c r="BE51" s="122">
        <f>SUM(BE15:BE50)</f>
        <v>137818919.77</v>
      </c>
      <c r="BF51" s="121">
        <f>(BE51/BM51)</f>
        <v>17.07826319443102</v>
      </c>
      <c r="BG51" s="122">
        <f>SUM(BG15:BG50)</f>
        <v>3846</v>
      </c>
      <c r="BH51" s="44"/>
      <c r="BI51" s="44"/>
      <c r="BJ51" s="119">
        <f t="shared" si="19"/>
        <v>2072.0608424336974</v>
      </c>
      <c r="BK51" s="121">
        <f t="shared" si="20"/>
        <v>1.2478308130863496</v>
      </c>
      <c r="BL51" s="54">
        <f>SUM(BL15:BL50)</f>
        <v>7969146</v>
      </c>
      <c r="BM51" s="54">
        <f t="shared" si="21"/>
        <v>8069844</v>
      </c>
      <c r="BN51" s="119">
        <f>SUM(BN15:BN50)</f>
        <v>1511313</v>
      </c>
      <c r="BO51" s="119">
        <f t="shared" si="12"/>
        <v>1120083.1858683487</v>
      </c>
      <c r="BP51" s="119">
        <f>SUM(BP15:BP50)</f>
        <v>6558531</v>
      </c>
      <c r="BQ51" s="119">
        <f t="shared" si="22"/>
        <v>51.8805451841539</v>
      </c>
      <c r="BR51" s="119">
        <f>SUM(BR15:BR50)</f>
        <v>126416</v>
      </c>
      <c r="BS51" s="46">
        <f t="shared" si="23"/>
        <v>6955000</v>
      </c>
      <c r="BT51" s="127">
        <f>SUM(BT15:BT50)</f>
        <v>69550</v>
      </c>
      <c r="BU51" s="163" t="s">
        <v>101</v>
      </c>
      <c r="BV51" s="164"/>
    </row>
    <row r="52" spans="14:74" ht="39" customHeight="1" thickBot="1">
      <c r="N52" s="84"/>
      <c r="O52" s="85">
        <v>1</v>
      </c>
      <c r="P52" s="86"/>
      <c r="Q52" s="86"/>
      <c r="R52" s="86"/>
      <c r="S52" s="85">
        <f aca="true" t="shared" si="28" ref="S52:S60">(T52*BM52)</f>
        <v>50640120.5</v>
      </c>
      <c r="T52" s="87">
        <v>82.58</v>
      </c>
      <c r="U52" s="87">
        <f aca="true" t="shared" si="29" ref="U52:U60">(V52*BM52)</f>
        <v>51486370.99999999</v>
      </c>
      <c r="V52" s="87">
        <v>83.96</v>
      </c>
      <c r="W52" s="88">
        <f t="shared" si="13"/>
        <v>61.322500000000005</v>
      </c>
      <c r="X52" s="88">
        <f>(BM52/BS52)*100</f>
        <v>61.322500000000005</v>
      </c>
      <c r="Y52" s="89">
        <v>251600</v>
      </c>
      <c r="Z52" s="89"/>
      <c r="AA52" s="90"/>
      <c r="AB52" s="90"/>
      <c r="AC52" s="91">
        <f>(AD52/BM52)*100</f>
        <v>4.152635655754413</v>
      </c>
      <c r="AD52" s="92">
        <v>25465</v>
      </c>
      <c r="AE52" s="177">
        <v>1</v>
      </c>
      <c r="AF52" s="93">
        <f t="shared" si="15"/>
        <v>3.79</v>
      </c>
      <c r="AG52" s="93">
        <f aca="true" t="shared" si="30" ref="AG52:AG60">(AH52*BM52)</f>
        <v>0</v>
      </c>
      <c r="AH52" s="93">
        <v>0</v>
      </c>
      <c r="AI52" s="93">
        <f aca="true" t="shared" si="31" ref="AI52:AI60">(AJ52*BM52)</f>
        <v>380199.5</v>
      </c>
      <c r="AJ52" s="93">
        <v>0.62</v>
      </c>
      <c r="AK52" s="93">
        <f aca="true" t="shared" si="32" ref="AK52:AK60">(AL52*BM52)</f>
        <v>821721.5</v>
      </c>
      <c r="AL52" s="93">
        <v>1.34</v>
      </c>
      <c r="AM52" s="93">
        <f aca="true" t="shared" si="33" ref="AM52:AM60">(AN52*BM52)</f>
        <v>190099.75</v>
      </c>
      <c r="AN52" s="93">
        <v>0.31</v>
      </c>
      <c r="AO52" s="93">
        <f aca="true" t="shared" si="34" ref="AO52:AO60">(AP52*BM52)</f>
        <v>932102</v>
      </c>
      <c r="AP52" s="93">
        <v>1.52</v>
      </c>
      <c r="AQ52" s="93"/>
      <c r="AR52" s="94">
        <f>(AX52/BR52)</f>
        <v>7.921702574881766</v>
      </c>
      <c r="AS52" s="94">
        <f t="shared" si="7"/>
        <v>77511.64</v>
      </c>
      <c r="AT52" s="94">
        <f>(AW52/AS52)*100</f>
        <v>69.98417269973903</v>
      </c>
      <c r="AU52" s="94">
        <f>(AW52/BM52)*100</f>
        <v>8.845999429247014</v>
      </c>
      <c r="AV52" s="94">
        <f t="shared" si="9"/>
        <v>10.468713650299826</v>
      </c>
      <c r="AW52" s="94">
        <f>(AX52*89.96)%</f>
        <v>54245.88</v>
      </c>
      <c r="AX52" s="95">
        <f t="shared" si="17"/>
        <v>60300</v>
      </c>
      <c r="AY52" s="95">
        <v>0</v>
      </c>
      <c r="AZ52" s="95">
        <v>0</v>
      </c>
      <c r="BA52" s="95">
        <v>60300</v>
      </c>
      <c r="BB52" s="96"/>
      <c r="BC52" s="96">
        <f aca="true" t="shared" si="35" ref="BC52:BC60">(BD52*BM52)</f>
        <v>0</v>
      </c>
      <c r="BD52" s="96"/>
      <c r="BE52" s="96">
        <f aca="true" t="shared" si="36" ref="BE52:BE60">(BF52*BM52)</f>
        <v>7751164</v>
      </c>
      <c r="BF52" s="96">
        <v>12.64</v>
      </c>
      <c r="BG52" s="87">
        <v>155</v>
      </c>
      <c r="BH52" s="59" t="s">
        <v>183</v>
      </c>
      <c r="BI52" s="59" t="s">
        <v>180</v>
      </c>
      <c r="BJ52" s="60">
        <f t="shared" si="19"/>
        <v>3716.141935483871</v>
      </c>
      <c r="BK52" s="97">
        <f t="shared" si="20"/>
        <v>6.070039545028334</v>
      </c>
      <c r="BL52" s="60">
        <v>576002</v>
      </c>
      <c r="BM52" s="60">
        <f t="shared" si="21"/>
        <v>613225</v>
      </c>
      <c r="BN52" s="60">
        <v>0</v>
      </c>
      <c r="BO52" s="60">
        <f t="shared" si="12"/>
        <v>77511.64</v>
      </c>
      <c r="BP52" s="60">
        <v>613225</v>
      </c>
      <c r="BQ52" s="98">
        <f>((BP52*89.81)/BR52)/100</f>
        <v>72.35120500525485</v>
      </c>
      <c r="BR52" s="60">
        <v>7612</v>
      </c>
      <c r="BS52" s="95">
        <f t="shared" si="23"/>
        <v>1000000</v>
      </c>
      <c r="BT52" s="95">
        <v>10000</v>
      </c>
      <c r="BU52" s="80" t="s">
        <v>182</v>
      </c>
      <c r="BV52" s="81">
        <v>1</v>
      </c>
    </row>
    <row r="53" spans="14:74" ht="38.25" customHeight="1" thickBot="1">
      <c r="N53" s="84"/>
      <c r="O53" s="85">
        <v>2</v>
      </c>
      <c r="P53" s="86"/>
      <c r="Q53" s="86"/>
      <c r="R53" s="86"/>
      <c r="S53" s="85">
        <f t="shared" si="28"/>
        <v>149981237.28</v>
      </c>
      <c r="T53" s="87">
        <v>86.94</v>
      </c>
      <c r="U53" s="87">
        <f t="shared" si="29"/>
        <v>152051371.68</v>
      </c>
      <c r="V53" s="87">
        <v>88.14</v>
      </c>
      <c r="W53" s="88">
        <f t="shared" si="13"/>
        <v>86.2556</v>
      </c>
      <c r="X53" s="88">
        <f aca="true" t="shared" si="37" ref="X53:X61">(BM53/BS53)*100</f>
        <v>86.2556</v>
      </c>
      <c r="Y53" s="89">
        <v>538309</v>
      </c>
      <c r="Z53" s="89"/>
      <c r="AA53" s="90"/>
      <c r="AB53" s="90"/>
      <c r="AC53" s="91">
        <f>(AD53/BM53)*100</f>
        <v>3.483831774400734</v>
      </c>
      <c r="AD53" s="92">
        <v>60100</v>
      </c>
      <c r="AE53" s="177">
        <v>2</v>
      </c>
      <c r="AF53" s="93">
        <f t="shared" si="15"/>
        <v>2.92</v>
      </c>
      <c r="AG53" s="93">
        <f t="shared" si="30"/>
        <v>0</v>
      </c>
      <c r="AH53" s="93">
        <v>0</v>
      </c>
      <c r="AI53" s="93">
        <f t="shared" si="31"/>
        <v>776300.4</v>
      </c>
      <c r="AJ53" s="93">
        <v>0.45</v>
      </c>
      <c r="AK53" s="93">
        <f t="shared" si="32"/>
        <v>2259896.72</v>
      </c>
      <c r="AL53" s="93">
        <v>1.31</v>
      </c>
      <c r="AM53" s="93">
        <f t="shared" si="33"/>
        <v>345022.4</v>
      </c>
      <c r="AN53" s="93">
        <v>0.2</v>
      </c>
      <c r="AO53" s="93">
        <f t="shared" si="34"/>
        <v>1656107.52</v>
      </c>
      <c r="AP53" s="93">
        <v>0.96</v>
      </c>
      <c r="AQ53" s="93"/>
      <c r="AR53" s="94">
        <f aca="true" t="shared" si="38" ref="AR53:AR61">(AX53/BR53)</f>
        <v>10.687650478595337</v>
      </c>
      <c r="AS53" s="94">
        <f t="shared" si="7"/>
        <v>218226.668</v>
      </c>
      <c r="AT53" s="94">
        <f aca="true" t="shared" si="39" ref="AT53:AT61">(AW53/AS53)*100</f>
        <v>76.91104003842463</v>
      </c>
      <c r="AU53" s="94">
        <f>(AW53/BM53)*100</f>
        <v>9.729246564860716</v>
      </c>
      <c r="AV53" s="94">
        <f>(AW53/BL53)*100</f>
        <v>10.468766860294314</v>
      </c>
      <c r="AW53" s="94">
        <f>(AX53*92.22)%</f>
        <v>167840.4</v>
      </c>
      <c r="AX53" s="95">
        <f t="shared" si="17"/>
        <v>182000</v>
      </c>
      <c r="AY53" s="95"/>
      <c r="AZ53" s="95"/>
      <c r="BA53" s="95">
        <v>182000</v>
      </c>
      <c r="BB53" s="96"/>
      <c r="BC53" s="96">
        <f t="shared" si="35"/>
        <v>0</v>
      </c>
      <c r="BD53" s="96"/>
      <c r="BE53" s="96">
        <f t="shared" si="36"/>
        <v>21822666.8</v>
      </c>
      <c r="BF53" s="96">
        <v>12.65</v>
      </c>
      <c r="BG53" s="87">
        <v>196</v>
      </c>
      <c r="BH53" s="59" t="s">
        <v>178</v>
      </c>
      <c r="BI53" s="59" t="s">
        <v>177</v>
      </c>
      <c r="BJ53" s="60">
        <f t="shared" si="19"/>
        <v>8179.841836734694</v>
      </c>
      <c r="BK53" s="97">
        <f t="shared" si="20"/>
        <v>7.064063086918415</v>
      </c>
      <c r="BL53" s="60">
        <v>1603249</v>
      </c>
      <c r="BM53" s="60">
        <f t="shared" si="21"/>
        <v>1725112</v>
      </c>
      <c r="BN53" s="60">
        <v>172721</v>
      </c>
      <c r="BO53" s="60">
        <f t="shared" si="12"/>
        <v>196377.46150000003</v>
      </c>
      <c r="BP53" s="60">
        <v>1552391</v>
      </c>
      <c r="BQ53" s="98">
        <f>((BP53*92.15)/BR53)/100</f>
        <v>84.00542054730167</v>
      </c>
      <c r="BR53" s="60">
        <v>17029</v>
      </c>
      <c r="BS53" s="95">
        <f t="shared" si="23"/>
        <v>2000000</v>
      </c>
      <c r="BT53" s="95">
        <v>20000</v>
      </c>
      <c r="BU53" s="82" t="s">
        <v>37</v>
      </c>
      <c r="BV53" s="66">
        <v>2</v>
      </c>
    </row>
    <row r="54" spans="14:74" ht="38.25" customHeight="1" thickBot="1">
      <c r="N54" s="84"/>
      <c r="O54" s="85">
        <v>3</v>
      </c>
      <c r="P54" s="86"/>
      <c r="Q54" s="86"/>
      <c r="R54" s="86"/>
      <c r="S54" s="85">
        <f t="shared" si="28"/>
        <v>75900439.5</v>
      </c>
      <c r="T54" s="87">
        <v>86.86</v>
      </c>
      <c r="U54" s="87">
        <f t="shared" si="29"/>
        <v>76512117</v>
      </c>
      <c r="V54" s="87">
        <v>87.56</v>
      </c>
      <c r="W54" s="88">
        <f t="shared" si="13"/>
        <v>87.3825</v>
      </c>
      <c r="X54" s="88">
        <f t="shared" si="37"/>
        <v>87.3825</v>
      </c>
      <c r="Y54" s="89">
        <v>244837</v>
      </c>
      <c r="Z54" s="89"/>
      <c r="AA54" s="90"/>
      <c r="AB54" s="90"/>
      <c r="AC54" s="91">
        <f>(AD54/BM54)*100</f>
        <v>3.496924441392727</v>
      </c>
      <c r="AD54" s="92">
        <v>30557</v>
      </c>
      <c r="AE54" s="177">
        <v>3</v>
      </c>
      <c r="AF54" s="93">
        <f t="shared" si="15"/>
        <v>2.1</v>
      </c>
      <c r="AG54" s="93">
        <f t="shared" si="30"/>
        <v>0</v>
      </c>
      <c r="AH54" s="93">
        <v>0</v>
      </c>
      <c r="AI54" s="93">
        <f t="shared" si="31"/>
        <v>262147.5</v>
      </c>
      <c r="AJ54" s="93">
        <v>0.3</v>
      </c>
      <c r="AK54" s="93">
        <f t="shared" si="32"/>
        <v>996160.4999999999</v>
      </c>
      <c r="AL54" s="93">
        <v>1.14</v>
      </c>
      <c r="AM54" s="93">
        <f t="shared" si="33"/>
        <v>122335.50000000001</v>
      </c>
      <c r="AN54" s="93">
        <v>0.14</v>
      </c>
      <c r="AO54" s="93">
        <f t="shared" si="34"/>
        <v>454389</v>
      </c>
      <c r="AP54" s="93">
        <v>0.52</v>
      </c>
      <c r="AQ54" s="93"/>
      <c r="AR54" s="94">
        <f t="shared" si="38"/>
        <v>9.93457108816521</v>
      </c>
      <c r="AS54" s="94">
        <f t="shared" si="7"/>
        <v>116830.4025</v>
      </c>
      <c r="AT54" s="94">
        <f t="shared" si="39"/>
        <v>84.31028764109581</v>
      </c>
      <c r="AU54" s="94">
        <f>(AX54/BM54)*100</f>
        <v>11.45091980659743</v>
      </c>
      <c r="AV54" s="94">
        <f>(AX54/BM54)*100</f>
        <v>11.45091980659743</v>
      </c>
      <c r="AW54" s="94">
        <f>(AX54*98.44)%</f>
        <v>98500.0484</v>
      </c>
      <c r="AX54" s="95">
        <f t="shared" si="17"/>
        <v>100061</v>
      </c>
      <c r="AY54" s="95">
        <v>0</v>
      </c>
      <c r="AZ54" s="95">
        <v>0</v>
      </c>
      <c r="BA54" s="95">
        <v>100061</v>
      </c>
      <c r="BB54" s="96"/>
      <c r="BC54" s="96">
        <f t="shared" si="35"/>
        <v>0</v>
      </c>
      <c r="BD54" s="96"/>
      <c r="BE54" s="96">
        <f t="shared" si="36"/>
        <v>11683040.25</v>
      </c>
      <c r="BF54" s="96">
        <v>13.37</v>
      </c>
      <c r="BG54" s="87">
        <v>143</v>
      </c>
      <c r="BH54" s="59" t="s">
        <v>184</v>
      </c>
      <c r="BI54" s="59" t="s">
        <v>167</v>
      </c>
      <c r="BJ54" s="60">
        <f t="shared" si="19"/>
        <v>5790.06993006993</v>
      </c>
      <c r="BK54" s="97">
        <f t="shared" si="20"/>
        <v>5.246473836294452</v>
      </c>
      <c r="BL54" s="60">
        <v>827980</v>
      </c>
      <c r="BM54" s="60">
        <f t="shared" si="21"/>
        <v>873825</v>
      </c>
      <c r="BN54" s="60">
        <v>0</v>
      </c>
      <c r="BO54" s="60">
        <f t="shared" si="12"/>
        <v>116830.4025</v>
      </c>
      <c r="BP54" s="60">
        <v>873825</v>
      </c>
      <c r="BQ54" s="98">
        <f t="shared" si="22"/>
        <v>86.75784352660843</v>
      </c>
      <c r="BR54" s="60">
        <v>10072</v>
      </c>
      <c r="BS54" s="95">
        <f t="shared" si="23"/>
        <v>1000000</v>
      </c>
      <c r="BT54" s="95">
        <v>10000</v>
      </c>
      <c r="BU54" s="82" t="s">
        <v>38</v>
      </c>
      <c r="BV54" s="66">
        <v>3</v>
      </c>
    </row>
    <row r="55" spans="14:74" ht="39" customHeight="1" thickBot="1">
      <c r="N55" s="84"/>
      <c r="O55" s="85">
        <v>4</v>
      </c>
      <c r="P55" s="86"/>
      <c r="Q55" s="86"/>
      <c r="R55" s="86"/>
      <c r="S55" s="85">
        <f t="shared" si="28"/>
        <v>72340187.92</v>
      </c>
      <c r="T55" s="87">
        <v>84.37</v>
      </c>
      <c r="U55" s="87">
        <f t="shared" si="29"/>
        <v>72623135.2</v>
      </c>
      <c r="V55" s="87">
        <v>84.7</v>
      </c>
      <c r="W55" s="88">
        <f t="shared" si="13"/>
        <v>85.74159999999999</v>
      </c>
      <c r="X55" s="88">
        <f t="shared" si="37"/>
        <v>85.74159999999999</v>
      </c>
      <c r="Y55" s="89">
        <v>251946</v>
      </c>
      <c r="Z55" s="89"/>
      <c r="AA55" s="90"/>
      <c r="AB55" s="90"/>
      <c r="AC55" s="91">
        <f aca="true" t="shared" si="40" ref="AC55:AC60">(AD55/BM55)*100</f>
        <v>3.913269638075333</v>
      </c>
      <c r="AD55" s="92">
        <v>33553</v>
      </c>
      <c r="AE55" s="177">
        <v>4</v>
      </c>
      <c r="AF55" s="93">
        <f t="shared" si="15"/>
        <v>2.08</v>
      </c>
      <c r="AG55" s="93">
        <f t="shared" si="30"/>
        <v>0</v>
      </c>
      <c r="AH55" s="93">
        <v>0</v>
      </c>
      <c r="AI55" s="93">
        <f t="shared" si="31"/>
        <v>102889.92</v>
      </c>
      <c r="AJ55" s="93">
        <v>0.12</v>
      </c>
      <c r="AK55" s="93">
        <f t="shared" si="32"/>
        <v>1131789.12</v>
      </c>
      <c r="AL55" s="93">
        <v>1.32</v>
      </c>
      <c r="AM55" s="93">
        <f t="shared" si="33"/>
        <v>94315.76</v>
      </c>
      <c r="AN55" s="93">
        <v>0.11</v>
      </c>
      <c r="AO55" s="93">
        <f t="shared" si="34"/>
        <v>454430.48000000004</v>
      </c>
      <c r="AP55" s="93">
        <v>0.53</v>
      </c>
      <c r="AQ55" s="93"/>
      <c r="AR55" s="94">
        <f t="shared" si="38"/>
        <v>9.859669079627714</v>
      </c>
      <c r="AS55" s="94">
        <f t="shared" si="7"/>
        <v>111721.30479999998</v>
      </c>
      <c r="AT55" s="94">
        <f t="shared" si="39"/>
        <v>84.0001959053382</v>
      </c>
      <c r="AU55" s="94">
        <f aca="true" t="shared" si="41" ref="AU55:AU61">(AX55/BM55)*100</f>
        <v>11.119806488332385</v>
      </c>
      <c r="AV55" s="94">
        <f aca="true" t="shared" si="42" ref="AV55:AV61">(AX55/BM55)*100</f>
        <v>11.119806488332385</v>
      </c>
      <c r="AW55" s="94">
        <f>(AX55*98.43)%</f>
        <v>93846.1149</v>
      </c>
      <c r="AX55" s="95">
        <f t="shared" si="17"/>
        <v>95343</v>
      </c>
      <c r="AY55" s="95">
        <v>0</v>
      </c>
      <c r="AZ55" s="95">
        <v>0</v>
      </c>
      <c r="BA55" s="95">
        <v>95343</v>
      </c>
      <c r="BB55" s="96"/>
      <c r="BC55" s="96">
        <f t="shared" si="35"/>
        <v>0</v>
      </c>
      <c r="BD55" s="96"/>
      <c r="BE55" s="96">
        <f t="shared" si="36"/>
        <v>11172130.479999999</v>
      </c>
      <c r="BF55" s="96">
        <v>13.03</v>
      </c>
      <c r="BG55" s="87">
        <v>163</v>
      </c>
      <c r="BH55" s="59" t="s">
        <v>187</v>
      </c>
      <c r="BI55" s="59" t="s">
        <v>168</v>
      </c>
      <c r="BJ55" s="60">
        <f t="shared" si="19"/>
        <v>4910.926380368098</v>
      </c>
      <c r="BK55" s="97">
        <f t="shared" si="20"/>
        <v>6.640300624201088</v>
      </c>
      <c r="BL55" s="60">
        <v>800481</v>
      </c>
      <c r="BM55" s="60">
        <f t="shared" si="21"/>
        <v>857416</v>
      </c>
      <c r="BN55" s="60">
        <v>0</v>
      </c>
      <c r="BO55" s="60">
        <f t="shared" si="12"/>
        <v>111721.30479999998</v>
      </c>
      <c r="BP55" s="60">
        <v>857416</v>
      </c>
      <c r="BQ55" s="98">
        <f t="shared" si="22"/>
        <v>88.66763185108583</v>
      </c>
      <c r="BR55" s="60">
        <v>9670</v>
      </c>
      <c r="BS55" s="95">
        <f t="shared" si="23"/>
        <v>1000000</v>
      </c>
      <c r="BT55" s="95">
        <v>10000</v>
      </c>
      <c r="BU55" s="82" t="s">
        <v>39</v>
      </c>
      <c r="BV55" s="66">
        <v>4</v>
      </c>
    </row>
    <row r="56" spans="14:74" ht="39" customHeight="1" thickBot="1">
      <c r="N56" s="84"/>
      <c r="O56" s="85">
        <v>5</v>
      </c>
      <c r="P56" s="86"/>
      <c r="Q56" s="86"/>
      <c r="R56" s="86"/>
      <c r="S56" s="85">
        <f t="shared" si="28"/>
        <v>66395945.559999995</v>
      </c>
      <c r="T56" s="87">
        <v>86.66</v>
      </c>
      <c r="U56" s="87">
        <f t="shared" si="29"/>
        <v>65928584.3</v>
      </c>
      <c r="V56" s="87">
        <v>86.05</v>
      </c>
      <c r="W56" s="88">
        <f t="shared" si="13"/>
        <v>76.6166</v>
      </c>
      <c r="X56" s="88">
        <f t="shared" si="37"/>
        <v>76.6166</v>
      </c>
      <c r="Y56" s="89">
        <v>219985</v>
      </c>
      <c r="Z56" s="89"/>
      <c r="AA56" s="90"/>
      <c r="AB56" s="90"/>
      <c r="AC56" s="91">
        <f t="shared" si="40"/>
        <v>3.5028962391962057</v>
      </c>
      <c r="AD56" s="92">
        <v>26838</v>
      </c>
      <c r="AE56" s="177">
        <v>5</v>
      </c>
      <c r="AF56" s="93">
        <f t="shared" si="15"/>
        <v>1.96</v>
      </c>
      <c r="AG56" s="93">
        <f t="shared" si="30"/>
        <v>0</v>
      </c>
      <c r="AH56" s="93">
        <v>0</v>
      </c>
      <c r="AI56" s="93">
        <f t="shared" si="31"/>
        <v>76616.6</v>
      </c>
      <c r="AJ56" s="93">
        <v>0.1</v>
      </c>
      <c r="AK56" s="93">
        <f t="shared" si="32"/>
        <v>934722.52</v>
      </c>
      <c r="AL56" s="93">
        <v>1.22</v>
      </c>
      <c r="AM56" s="93">
        <f t="shared" si="33"/>
        <v>114924.9</v>
      </c>
      <c r="AN56" s="93">
        <v>0.15</v>
      </c>
      <c r="AO56" s="93">
        <f t="shared" si="34"/>
        <v>375421.33999999997</v>
      </c>
      <c r="AP56" s="93">
        <v>0.49</v>
      </c>
      <c r="AQ56" s="93"/>
      <c r="AR56" s="94">
        <f t="shared" si="38"/>
        <v>9.958535758671337</v>
      </c>
      <c r="AS56" s="94">
        <f t="shared" si="7"/>
        <v>102053.31120000001</v>
      </c>
      <c r="AT56" s="94">
        <f t="shared" si="39"/>
        <v>85.29858147317026</v>
      </c>
      <c r="AU56" s="94">
        <f t="shared" si="41"/>
        <v>11.504425933805468</v>
      </c>
      <c r="AV56" s="94">
        <f t="shared" si="42"/>
        <v>11.504425933805468</v>
      </c>
      <c r="AW56" s="94">
        <f>(AX56*98.76)%</f>
        <v>87050.02679999999</v>
      </c>
      <c r="AX56" s="95">
        <f t="shared" si="17"/>
        <v>88143</v>
      </c>
      <c r="AY56" s="95">
        <v>0</v>
      </c>
      <c r="AZ56" s="95">
        <v>0</v>
      </c>
      <c r="BA56" s="95">
        <v>88143</v>
      </c>
      <c r="BB56" s="96"/>
      <c r="BC56" s="96">
        <f t="shared" si="35"/>
        <v>0</v>
      </c>
      <c r="BD56" s="96"/>
      <c r="BE56" s="96">
        <f t="shared" si="36"/>
        <v>10205331.120000001</v>
      </c>
      <c r="BF56" s="96">
        <v>13.32</v>
      </c>
      <c r="BG56" s="87">
        <v>144</v>
      </c>
      <c r="BH56" s="59" t="s">
        <v>185</v>
      </c>
      <c r="BI56" s="59" t="s">
        <v>169</v>
      </c>
      <c r="BJ56" s="60">
        <f t="shared" si="19"/>
        <v>5007.840277777777</v>
      </c>
      <c r="BK56" s="97">
        <f t="shared" si="20"/>
        <v>5.87823004414187</v>
      </c>
      <c r="BL56" s="60">
        <v>721129</v>
      </c>
      <c r="BM56" s="60">
        <f t="shared" si="21"/>
        <v>766166</v>
      </c>
      <c r="BN56" s="60">
        <v>0</v>
      </c>
      <c r="BO56" s="60">
        <f t="shared" si="12"/>
        <v>102053.31120000001</v>
      </c>
      <c r="BP56" s="60">
        <v>766166</v>
      </c>
      <c r="BQ56" s="98">
        <f t="shared" si="22"/>
        <v>86.562648288329</v>
      </c>
      <c r="BR56" s="60">
        <v>8851</v>
      </c>
      <c r="BS56" s="95">
        <f t="shared" si="23"/>
        <v>1000000</v>
      </c>
      <c r="BT56" s="95">
        <v>10000</v>
      </c>
      <c r="BU56" s="82" t="s">
        <v>40</v>
      </c>
      <c r="BV56" s="66">
        <v>5</v>
      </c>
    </row>
    <row r="57" spans="14:74" ht="42" customHeight="1" thickBot="1">
      <c r="N57" s="84"/>
      <c r="O57" s="85">
        <v>6</v>
      </c>
      <c r="P57" s="86"/>
      <c r="Q57" s="86"/>
      <c r="R57" s="86"/>
      <c r="S57" s="85">
        <f t="shared" si="28"/>
        <v>67658581.75999999</v>
      </c>
      <c r="T57" s="87">
        <v>86.66</v>
      </c>
      <c r="U57" s="87">
        <f t="shared" si="29"/>
        <v>66706083.839999996</v>
      </c>
      <c r="V57" s="87">
        <v>85.44</v>
      </c>
      <c r="W57" s="88">
        <f t="shared" si="13"/>
        <v>78.0736</v>
      </c>
      <c r="X57" s="88">
        <f t="shared" si="37"/>
        <v>78.0736</v>
      </c>
      <c r="Y57" s="89">
        <v>238601</v>
      </c>
      <c r="Z57" s="89"/>
      <c r="AA57" s="90"/>
      <c r="AB57" s="90"/>
      <c r="AC57" s="91">
        <f t="shared" si="40"/>
        <v>3.3463296171817363</v>
      </c>
      <c r="AD57" s="92">
        <v>26126</v>
      </c>
      <c r="AE57" s="177">
        <v>6</v>
      </c>
      <c r="AF57" s="93">
        <f t="shared" si="15"/>
        <v>2.12</v>
      </c>
      <c r="AG57" s="93">
        <f t="shared" si="30"/>
        <v>0</v>
      </c>
      <c r="AH57" s="93">
        <v>0</v>
      </c>
      <c r="AI57" s="93">
        <f t="shared" si="31"/>
        <v>70266.23999999999</v>
      </c>
      <c r="AJ57" s="93">
        <v>0.09</v>
      </c>
      <c r="AK57" s="93">
        <f t="shared" si="32"/>
        <v>1022764.16</v>
      </c>
      <c r="AL57" s="93">
        <v>1.31</v>
      </c>
      <c r="AM57" s="93">
        <f t="shared" si="33"/>
        <v>101495.68000000001</v>
      </c>
      <c r="AN57" s="93">
        <v>0.13</v>
      </c>
      <c r="AO57" s="93">
        <f t="shared" si="34"/>
        <v>460634.24</v>
      </c>
      <c r="AP57" s="93">
        <v>0.59</v>
      </c>
      <c r="AQ57" s="93"/>
      <c r="AR57" s="94">
        <f t="shared" si="38"/>
        <v>10.010692753952906</v>
      </c>
      <c r="AS57" s="94">
        <f t="shared" si="7"/>
        <v>103603.66719999998</v>
      </c>
      <c r="AT57" s="94">
        <f t="shared" si="39"/>
        <v>84.03404971363796</v>
      </c>
      <c r="AU57" s="94">
        <f t="shared" si="41"/>
        <v>11.27192802688745</v>
      </c>
      <c r="AV57" s="94">
        <f t="shared" si="42"/>
        <v>11.27192802688745</v>
      </c>
      <c r="AW57" s="94">
        <f>(AX57*98.93)%</f>
        <v>87062.35720000001</v>
      </c>
      <c r="AX57" s="95">
        <f t="shared" si="17"/>
        <v>88004</v>
      </c>
      <c r="AY57" s="95">
        <v>0</v>
      </c>
      <c r="AZ57" s="95">
        <v>0</v>
      </c>
      <c r="BA57" s="95">
        <v>88004</v>
      </c>
      <c r="BB57" s="96"/>
      <c r="BC57" s="96">
        <f t="shared" si="35"/>
        <v>0</v>
      </c>
      <c r="BD57" s="96"/>
      <c r="BE57" s="96">
        <f t="shared" si="36"/>
        <v>10360366.719999999</v>
      </c>
      <c r="BF57" s="96">
        <v>13.27</v>
      </c>
      <c r="BG57" s="87">
        <v>133</v>
      </c>
      <c r="BH57" s="59" t="s">
        <v>170</v>
      </c>
      <c r="BI57" s="59" t="s">
        <v>168</v>
      </c>
      <c r="BJ57" s="60">
        <f t="shared" si="19"/>
        <v>5453.699248120301</v>
      </c>
      <c r="BK57" s="97">
        <f t="shared" si="20"/>
        <v>7.0951000081973925</v>
      </c>
      <c r="BL57" s="60">
        <v>725342</v>
      </c>
      <c r="BM57" s="60">
        <f t="shared" si="21"/>
        <v>780736</v>
      </c>
      <c r="BN57" s="60">
        <v>0</v>
      </c>
      <c r="BO57" s="60">
        <f t="shared" si="12"/>
        <v>103603.66719999998</v>
      </c>
      <c r="BP57" s="60">
        <v>780736</v>
      </c>
      <c r="BQ57" s="98">
        <f t="shared" si="22"/>
        <v>88.81082925719485</v>
      </c>
      <c r="BR57" s="60">
        <v>8791</v>
      </c>
      <c r="BS57" s="95">
        <f t="shared" si="23"/>
        <v>1000000</v>
      </c>
      <c r="BT57" s="95">
        <v>10000</v>
      </c>
      <c r="BU57" s="82" t="s">
        <v>41</v>
      </c>
      <c r="BV57" s="66">
        <v>6</v>
      </c>
    </row>
    <row r="58" spans="14:74" ht="42" customHeight="1" thickBot="1">
      <c r="N58" s="84"/>
      <c r="O58" s="85">
        <v>7</v>
      </c>
      <c r="P58" s="86"/>
      <c r="Q58" s="86"/>
      <c r="R58" s="86"/>
      <c r="S58" s="85">
        <f t="shared" si="28"/>
        <v>78548532.66</v>
      </c>
      <c r="T58" s="87">
        <v>85.02</v>
      </c>
      <c r="U58" s="87">
        <f t="shared" si="29"/>
        <v>78243651.27</v>
      </c>
      <c r="V58" s="87">
        <v>84.69</v>
      </c>
      <c r="W58" s="88">
        <f t="shared" si="13"/>
        <v>92.3883</v>
      </c>
      <c r="X58" s="88">
        <f t="shared" si="37"/>
        <v>92.3883</v>
      </c>
      <c r="Y58" s="89">
        <v>277554</v>
      </c>
      <c r="Z58" s="89"/>
      <c r="AA58" s="90"/>
      <c r="AB58" s="90"/>
      <c r="AC58" s="91">
        <f t="shared" si="40"/>
        <v>3.642669039261465</v>
      </c>
      <c r="AD58" s="92">
        <v>33654</v>
      </c>
      <c r="AE58" s="177">
        <v>7</v>
      </c>
      <c r="AF58" s="93">
        <f t="shared" si="15"/>
        <v>2.04</v>
      </c>
      <c r="AG58" s="93">
        <f t="shared" si="30"/>
        <v>0</v>
      </c>
      <c r="AH58" s="93">
        <v>0</v>
      </c>
      <c r="AI58" s="93">
        <f t="shared" si="31"/>
        <v>120104.79000000001</v>
      </c>
      <c r="AJ58" s="93">
        <v>0.13</v>
      </c>
      <c r="AK58" s="93">
        <f t="shared" si="32"/>
        <v>1191809.07</v>
      </c>
      <c r="AL58" s="93">
        <v>1.29</v>
      </c>
      <c r="AM58" s="93">
        <f t="shared" si="33"/>
        <v>83149.47</v>
      </c>
      <c r="AN58" s="93">
        <v>0.09</v>
      </c>
      <c r="AO58" s="93">
        <f t="shared" si="34"/>
        <v>489657.99000000005</v>
      </c>
      <c r="AP58" s="93">
        <v>0.53</v>
      </c>
      <c r="AQ58" s="93"/>
      <c r="AR58" s="94">
        <f t="shared" si="38"/>
        <v>10.242916235780765</v>
      </c>
      <c r="AS58" s="94">
        <f t="shared" si="7"/>
        <v>116594.03459999998</v>
      </c>
      <c r="AT58" s="94">
        <f t="shared" si="39"/>
        <v>83.81367343128206</v>
      </c>
      <c r="AU58" s="94">
        <f t="shared" si="41"/>
        <v>10.72094626700567</v>
      </c>
      <c r="AV58" s="94">
        <f t="shared" si="42"/>
        <v>10.72094626700567</v>
      </c>
      <c r="AW58" s="94">
        <f>(AX58*98.66)%</f>
        <v>97721.74339999999</v>
      </c>
      <c r="AX58" s="95">
        <f t="shared" si="17"/>
        <v>99049</v>
      </c>
      <c r="AY58" s="95">
        <v>0</v>
      </c>
      <c r="AZ58" s="95">
        <v>0</v>
      </c>
      <c r="BA58" s="95">
        <v>99049</v>
      </c>
      <c r="BB58" s="96"/>
      <c r="BC58" s="96">
        <f t="shared" si="35"/>
        <v>0</v>
      </c>
      <c r="BD58" s="96"/>
      <c r="BE58" s="96">
        <f t="shared" si="36"/>
        <v>11659403.459999999</v>
      </c>
      <c r="BF58" s="96">
        <v>12.62</v>
      </c>
      <c r="BG58" s="87">
        <v>123</v>
      </c>
      <c r="BH58" s="59" t="s">
        <v>144</v>
      </c>
      <c r="BI58" s="59" t="s">
        <v>171</v>
      </c>
      <c r="BJ58" s="60">
        <f t="shared" si="19"/>
        <v>6997.650406504065</v>
      </c>
      <c r="BK58" s="97">
        <f t="shared" si="20"/>
        <v>6.837662344690833</v>
      </c>
      <c r="BL58" s="60">
        <v>860711</v>
      </c>
      <c r="BM58" s="60">
        <f t="shared" si="21"/>
        <v>923883</v>
      </c>
      <c r="BN58" s="60">
        <v>0</v>
      </c>
      <c r="BO58" s="60">
        <f t="shared" si="12"/>
        <v>116594.03459999998</v>
      </c>
      <c r="BP58" s="60">
        <v>923883</v>
      </c>
      <c r="BQ58" s="98">
        <f t="shared" si="22"/>
        <v>95.541158221303</v>
      </c>
      <c r="BR58" s="60">
        <v>9670</v>
      </c>
      <c r="BS58" s="95">
        <f t="shared" si="23"/>
        <v>1000000</v>
      </c>
      <c r="BT58" s="95">
        <v>10000</v>
      </c>
      <c r="BU58" s="82" t="s">
        <v>42</v>
      </c>
      <c r="BV58" s="66">
        <v>7</v>
      </c>
    </row>
    <row r="59" spans="14:74" ht="39" customHeight="1" thickBot="1">
      <c r="N59" s="84"/>
      <c r="O59" s="85">
        <v>8</v>
      </c>
      <c r="P59" s="86"/>
      <c r="Q59" s="86"/>
      <c r="R59" s="86"/>
      <c r="S59" s="85">
        <f t="shared" si="28"/>
        <v>63909883.52</v>
      </c>
      <c r="T59" s="87">
        <v>85.12</v>
      </c>
      <c r="U59" s="87">
        <f t="shared" si="29"/>
        <v>63819785</v>
      </c>
      <c r="V59" s="87">
        <v>85</v>
      </c>
      <c r="W59" s="88">
        <f t="shared" si="13"/>
        <v>75.0821</v>
      </c>
      <c r="X59" s="88">
        <f t="shared" si="37"/>
        <v>75.0821</v>
      </c>
      <c r="Y59" s="89">
        <v>214962</v>
      </c>
      <c r="Z59" s="89"/>
      <c r="AA59" s="90"/>
      <c r="AB59" s="90"/>
      <c r="AC59" s="91">
        <f t="shared" si="40"/>
        <v>3.627362580428624</v>
      </c>
      <c r="AD59" s="92">
        <v>27235</v>
      </c>
      <c r="AE59" s="177">
        <v>8</v>
      </c>
      <c r="AF59" s="93">
        <f t="shared" si="15"/>
        <v>2.13</v>
      </c>
      <c r="AG59" s="93">
        <f t="shared" si="30"/>
        <v>0</v>
      </c>
      <c r="AH59" s="93">
        <v>0</v>
      </c>
      <c r="AI59" s="93">
        <f t="shared" si="31"/>
        <v>135147.78</v>
      </c>
      <c r="AJ59" s="93">
        <v>0.18</v>
      </c>
      <c r="AK59" s="93">
        <f t="shared" si="32"/>
        <v>961050.88</v>
      </c>
      <c r="AL59" s="93">
        <v>1.28</v>
      </c>
      <c r="AM59" s="93">
        <f t="shared" si="33"/>
        <v>75082.1</v>
      </c>
      <c r="AN59" s="93">
        <v>0.1</v>
      </c>
      <c r="AO59" s="93">
        <f t="shared" si="34"/>
        <v>427967.97</v>
      </c>
      <c r="AP59" s="93">
        <v>0.57</v>
      </c>
      <c r="AQ59" s="93"/>
      <c r="AR59" s="94">
        <f t="shared" si="38"/>
        <v>10.12219512195122</v>
      </c>
      <c r="AS59" s="94">
        <f t="shared" si="7"/>
        <v>97907.0584</v>
      </c>
      <c r="AT59" s="94">
        <f t="shared" si="39"/>
        <v>83.6911819628318</v>
      </c>
      <c r="AU59" s="94">
        <f t="shared" si="41"/>
        <v>11.054831977262223</v>
      </c>
      <c r="AV59" s="94">
        <f t="shared" si="42"/>
        <v>11.054831977262223</v>
      </c>
      <c r="AW59" s="94">
        <f>(AX59*98.72)%</f>
        <v>81939.5744</v>
      </c>
      <c r="AX59" s="95">
        <f t="shared" si="17"/>
        <v>83002</v>
      </c>
      <c r="AY59" s="95">
        <v>0</v>
      </c>
      <c r="AZ59" s="95">
        <v>0</v>
      </c>
      <c r="BA59" s="95">
        <v>83002</v>
      </c>
      <c r="BB59" s="96"/>
      <c r="BC59" s="96">
        <f t="shared" si="35"/>
        <v>0</v>
      </c>
      <c r="BD59" s="96"/>
      <c r="BE59" s="96">
        <f t="shared" si="36"/>
        <v>9790705.84</v>
      </c>
      <c r="BF59" s="96">
        <v>13.04</v>
      </c>
      <c r="BG59" s="87">
        <v>114</v>
      </c>
      <c r="BH59" s="59" t="s">
        <v>173</v>
      </c>
      <c r="BI59" s="59" t="s">
        <v>172</v>
      </c>
      <c r="BJ59" s="60">
        <f t="shared" si="19"/>
        <v>6184.201754385965</v>
      </c>
      <c r="BK59" s="97">
        <f t="shared" si="20"/>
        <v>6.1029193376317385</v>
      </c>
      <c r="BL59" s="60">
        <v>704999</v>
      </c>
      <c r="BM59" s="60">
        <f t="shared" si="21"/>
        <v>750821</v>
      </c>
      <c r="BN59" s="60">
        <v>0</v>
      </c>
      <c r="BO59" s="60">
        <f t="shared" si="12"/>
        <v>97907.0584</v>
      </c>
      <c r="BP59" s="60">
        <v>750821</v>
      </c>
      <c r="BQ59" s="98">
        <f t="shared" si="22"/>
        <v>91.56353658536585</v>
      </c>
      <c r="BR59" s="60">
        <v>8200</v>
      </c>
      <c r="BS59" s="95">
        <f t="shared" si="23"/>
        <v>1000000</v>
      </c>
      <c r="BT59" s="95">
        <v>10000</v>
      </c>
      <c r="BU59" s="82" t="s">
        <v>43</v>
      </c>
      <c r="BV59" s="66">
        <v>8</v>
      </c>
    </row>
    <row r="60" spans="14:74" ht="45" customHeight="1" thickBot="1">
      <c r="N60" s="102"/>
      <c r="O60" s="103">
        <v>9</v>
      </c>
      <c r="P60" s="104"/>
      <c r="Q60" s="104"/>
      <c r="R60" s="104"/>
      <c r="S60" s="103">
        <f t="shared" si="28"/>
        <v>54343870.6</v>
      </c>
      <c r="T60" s="105">
        <v>86.23</v>
      </c>
      <c r="U60" s="105">
        <f t="shared" si="29"/>
        <v>53858601.199999996</v>
      </c>
      <c r="V60" s="105">
        <v>85.46</v>
      </c>
      <c r="W60" s="106">
        <f t="shared" si="13"/>
        <v>63.022</v>
      </c>
      <c r="X60" s="106">
        <f t="shared" si="37"/>
        <v>63.022</v>
      </c>
      <c r="Y60" s="107">
        <v>202577</v>
      </c>
      <c r="Z60" s="107"/>
      <c r="AA60" s="108"/>
      <c r="AB60" s="108"/>
      <c r="AC60" s="91">
        <f t="shared" si="40"/>
        <v>3.745041414109359</v>
      </c>
      <c r="AD60" s="109">
        <v>23602</v>
      </c>
      <c r="AE60" s="178">
        <v>9</v>
      </c>
      <c r="AF60" s="110">
        <f t="shared" si="15"/>
        <v>2.12</v>
      </c>
      <c r="AG60" s="110">
        <f t="shared" si="30"/>
        <v>0</v>
      </c>
      <c r="AH60" s="110">
        <v>0</v>
      </c>
      <c r="AI60" s="110">
        <f t="shared" si="31"/>
        <v>88230.8</v>
      </c>
      <c r="AJ60" s="110">
        <v>0.14</v>
      </c>
      <c r="AK60" s="110">
        <f t="shared" si="32"/>
        <v>850797</v>
      </c>
      <c r="AL60" s="110">
        <v>1.35</v>
      </c>
      <c r="AM60" s="110">
        <f t="shared" si="33"/>
        <v>63022</v>
      </c>
      <c r="AN60" s="110">
        <v>0.1</v>
      </c>
      <c r="AO60" s="93">
        <f t="shared" si="34"/>
        <v>334016.60000000003</v>
      </c>
      <c r="AP60" s="110">
        <v>0.53</v>
      </c>
      <c r="AQ60" s="110"/>
      <c r="AR60" s="111">
        <f t="shared" si="38"/>
        <v>10.222743730722812</v>
      </c>
      <c r="AS60" s="111">
        <f t="shared" si="7"/>
        <v>88419.866</v>
      </c>
      <c r="AT60" s="111">
        <f t="shared" si="39"/>
        <v>84.86121580414971</v>
      </c>
      <c r="AU60" s="111">
        <f t="shared" si="41"/>
        <v>12.095934752943418</v>
      </c>
      <c r="AV60" s="111">
        <f t="shared" si="42"/>
        <v>12.095934752943418</v>
      </c>
      <c r="AW60" s="94">
        <f>(AX60*98.43)%</f>
        <v>75034.1733</v>
      </c>
      <c r="AX60" s="112">
        <f t="shared" si="17"/>
        <v>76231</v>
      </c>
      <c r="AY60" s="112">
        <v>0</v>
      </c>
      <c r="AZ60" s="112">
        <v>0</v>
      </c>
      <c r="BA60" s="112">
        <v>76231</v>
      </c>
      <c r="BB60" s="96"/>
      <c r="BC60" s="113">
        <f t="shared" si="35"/>
        <v>0</v>
      </c>
      <c r="BD60" s="113"/>
      <c r="BE60" s="113">
        <f t="shared" si="36"/>
        <v>8841986.6</v>
      </c>
      <c r="BF60" s="113">
        <v>14.03</v>
      </c>
      <c r="BG60" s="105">
        <v>102</v>
      </c>
      <c r="BH60" s="101" t="s">
        <v>165</v>
      </c>
      <c r="BI60" s="101" t="s">
        <v>169</v>
      </c>
      <c r="BJ60" s="114">
        <f t="shared" si="19"/>
        <v>5809.303921568628</v>
      </c>
      <c r="BK60" s="115">
        <f t="shared" si="20"/>
        <v>5.977436450763225</v>
      </c>
      <c r="BL60" s="114">
        <v>592549</v>
      </c>
      <c r="BM60" s="114">
        <f t="shared" si="21"/>
        <v>630220</v>
      </c>
      <c r="BN60" s="116">
        <v>0</v>
      </c>
      <c r="BO60" s="60">
        <f t="shared" si="12"/>
        <v>88419.866</v>
      </c>
      <c r="BP60" s="116">
        <v>630220</v>
      </c>
      <c r="BQ60" s="117">
        <f t="shared" si="22"/>
        <v>84.51387957623709</v>
      </c>
      <c r="BR60" s="116">
        <v>7457</v>
      </c>
      <c r="BS60" s="95">
        <f t="shared" si="23"/>
        <v>1000000</v>
      </c>
      <c r="BT60" s="118">
        <v>10000</v>
      </c>
      <c r="BU60" s="83" t="s">
        <v>44</v>
      </c>
      <c r="BV60" s="78">
        <v>9</v>
      </c>
    </row>
    <row r="61" spans="14:74" ht="48.75" customHeight="1" thickBot="1" thickTop="1">
      <c r="N61" s="134"/>
      <c r="O61" s="132"/>
      <c r="P61" s="132"/>
      <c r="Q61" s="132"/>
      <c r="R61" s="132"/>
      <c r="S61" s="132">
        <f>SUM(S52:S60)</f>
        <v>679718799.3</v>
      </c>
      <c r="T61" s="133">
        <f>(S61/BM61)</f>
        <v>85.80786932468031</v>
      </c>
      <c r="U61" s="133">
        <f>SUM(U52:U60)</f>
        <v>681229700.49</v>
      </c>
      <c r="V61" s="133">
        <f>(U61/BM61)</f>
        <v>85.99860586456643</v>
      </c>
      <c r="W61" s="133">
        <f t="shared" si="13"/>
        <v>79.21404</v>
      </c>
      <c r="X61" s="133">
        <f t="shared" si="37"/>
        <v>79.21404</v>
      </c>
      <c r="Y61" s="131">
        <f>SUM(Y52:Y60)</f>
        <v>2440371</v>
      </c>
      <c r="Z61" s="131">
        <f>SUM(Z52:Z60)</f>
        <v>0</v>
      </c>
      <c r="AA61" s="132"/>
      <c r="AB61" s="132"/>
      <c r="AC61" s="133">
        <f>(AD61/BM61)*100</f>
        <v>3.6247362210032463</v>
      </c>
      <c r="AD61" s="131">
        <f>SUM(AD52:AD60)</f>
        <v>287130</v>
      </c>
      <c r="AE61" s="132"/>
      <c r="AF61" s="135">
        <f t="shared" si="15"/>
        <v>2.323134889345374</v>
      </c>
      <c r="AG61" s="135">
        <f>SUM(AG52:AG60)</f>
        <v>0</v>
      </c>
      <c r="AH61" s="135">
        <f>(AG61/BM61)</f>
        <v>0</v>
      </c>
      <c r="AI61" s="135">
        <f>SUM(AI52:AI60)</f>
        <v>2011903.53</v>
      </c>
      <c r="AJ61" s="135">
        <f>(AI61/BM61)</f>
        <v>0.25398319919044654</v>
      </c>
      <c r="AK61" s="135">
        <f>SUM(AK52:AK60)</f>
        <v>10170711.47</v>
      </c>
      <c r="AL61" s="135">
        <f>(AK61/BM61)</f>
        <v>1.2839531312883423</v>
      </c>
      <c r="AM61" s="135">
        <f>SUM(AM52:AM60)</f>
        <v>1189447.5600000003</v>
      </c>
      <c r="AN61" s="135">
        <f>(AM51/BM61)</f>
        <v>0.0801812235558242</v>
      </c>
      <c r="AO61" s="135">
        <f>SUM(AO52:AO60)</f>
        <v>5584727.14</v>
      </c>
      <c r="AP61" s="135">
        <f>(AO61/BM61)</f>
        <v>0.7050173353107605</v>
      </c>
      <c r="AQ61" s="135"/>
      <c r="AR61" s="136">
        <f t="shared" si="38"/>
        <v>9.984121714442715</v>
      </c>
      <c r="AS61" s="133">
        <f t="shared" si="7"/>
        <v>1032867.9526999998</v>
      </c>
      <c r="AT61" s="137">
        <f t="shared" si="39"/>
        <v>81.6406701549508</v>
      </c>
      <c r="AU61" s="133">
        <f t="shared" si="41"/>
        <v>11.009828560694542</v>
      </c>
      <c r="AV61" s="133">
        <f t="shared" si="42"/>
        <v>11.009828560694542</v>
      </c>
      <c r="AW61" s="48">
        <f>SUM(AW52:AW60)</f>
        <v>843240.3184000001</v>
      </c>
      <c r="AX61" s="55">
        <f>SUM(AX52:AX60)</f>
        <v>872133</v>
      </c>
      <c r="AY61" s="131">
        <f>SUM(AY52:AY60)</f>
        <v>0</v>
      </c>
      <c r="AZ61" s="131">
        <f>SUM(AZ52:AZ60)</f>
        <v>0</v>
      </c>
      <c r="BA61" s="131">
        <f>SUM(BA52:BA60)</f>
        <v>872133</v>
      </c>
      <c r="BB61" s="132"/>
      <c r="BC61" s="132">
        <f>SUM(BC52:BC60)</f>
        <v>0</v>
      </c>
      <c r="BD61" s="132"/>
      <c r="BE61" s="132">
        <f>SUM(BE52:BE60)</f>
        <v>103286795.26999998</v>
      </c>
      <c r="BF61" s="133">
        <f>(BE61/BM61)</f>
        <v>13.038950578710539</v>
      </c>
      <c r="BG61" s="132">
        <f>SUM(BG52:BG60)</f>
        <v>1273</v>
      </c>
      <c r="BH61" s="47"/>
      <c r="BI61" s="49"/>
      <c r="BJ61" s="131">
        <f t="shared" si="19"/>
        <v>5822.813825608798</v>
      </c>
      <c r="BK61" s="133">
        <f t="shared" si="20"/>
        <v>6.425148875123653</v>
      </c>
      <c r="BL61" s="55">
        <f>SUM(BL52:BL60)</f>
        <v>7412442</v>
      </c>
      <c r="BM61" s="55">
        <f t="shared" si="21"/>
        <v>7921404</v>
      </c>
      <c r="BN61" s="128">
        <f>SUM(BN52:BN60)</f>
        <v>172721</v>
      </c>
      <c r="BO61" s="119">
        <f t="shared" si="12"/>
        <v>1010346.946870945</v>
      </c>
      <c r="BP61" s="128">
        <f>SUM(BP52:BP60)</f>
        <v>7748683</v>
      </c>
      <c r="BQ61" s="129">
        <f t="shared" si="22"/>
        <v>88.70641771224471</v>
      </c>
      <c r="BR61" s="128">
        <f>SUM(BR52:BR60)</f>
        <v>87352</v>
      </c>
      <c r="BS61" s="119">
        <f t="shared" si="23"/>
        <v>10000000</v>
      </c>
      <c r="BT61" s="130">
        <f>SUM(BT52:BT60)</f>
        <v>100000</v>
      </c>
      <c r="BU61" s="167" t="s">
        <v>45</v>
      </c>
      <c r="BV61" s="168"/>
    </row>
    <row r="62" spans="14:74" ht="51" customHeight="1" thickBot="1">
      <c r="N62" s="141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38">
        <f>Y61+Y51</f>
        <v>2905836</v>
      </c>
      <c r="Z62" s="138">
        <f>Z61+Z51</f>
        <v>445752</v>
      </c>
      <c r="AA62" s="142"/>
      <c r="AB62" s="142"/>
      <c r="AC62" s="142"/>
      <c r="AD62" s="138">
        <f>AD61+AD51</f>
        <v>632376</v>
      </c>
      <c r="AE62" s="142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4"/>
      <c r="AS62" s="142"/>
      <c r="AT62" s="142"/>
      <c r="AU62" s="142"/>
      <c r="AV62" s="142"/>
      <c r="AW62" s="50"/>
      <c r="AX62" s="140">
        <f>AX61+AX51</f>
        <v>2015359</v>
      </c>
      <c r="AY62" s="138">
        <f>AY61+AY51</f>
        <v>1385</v>
      </c>
      <c r="AZ62" s="138"/>
      <c r="BA62" s="138">
        <f>BA61+BA51</f>
        <v>2013974</v>
      </c>
      <c r="BB62" s="50"/>
      <c r="BC62" s="50"/>
      <c r="BD62" s="50"/>
      <c r="BE62" s="50"/>
      <c r="BF62" s="50"/>
      <c r="BG62" s="50"/>
      <c r="BH62" s="145"/>
      <c r="BI62" s="146"/>
      <c r="BJ62" s="51"/>
      <c r="BK62" s="52"/>
      <c r="BL62" s="53">
        <f>BL61+BL51</f>
        <v>15381588</v>
      </c>
      <c r="BM62" s="53">
        <f>BM61+BM51</f>
        <v>15991248</v>
      </c>
      <c r="BN62" s="138"/>
      <c r="BO62" s="138"/>
      <c r="BP62" s="138">
        <f>BP61+BP51</f>
        <v>14307214</v>
      </c>
      <c r="BQ62" s="138"/>
      <c r="BR62" s="138">
        <f>BR61+BR51</f>
        <v>213768</v>
      </c>
      <c r="BS62" s="139"/>
      <c r="BT62" s="139"/>
      <c r="BU62" s="159" t="s">
        <v>46</v>
      </c>
      <c r="BV62" s="160"/>
    </row>
    <row r="63" spans="64:74" ht="34.5" customHeight="1" thickTop="1">
      <c r="BL63" s="147" t="s">
        <v>186</v>
      </c>
      <c r="BM63" s="147"/>
      <c r="BN63" s="147"/>
      <c r="BO63" s="147"/>
      <c r="BP63" s="147"/>
      <c r="BQ63" s="147"/>
      <c r="BR63" s="147"/>
      <c r="BS63" s="147"/>
      <c r="BT63" s="147"/>
      <c r="BU63" s="147"/>
      <c r="BV63" s="58" t="s">
        <v>181</v>
      </c>
    </row>
  </sheetData>
  <sheetProtection/>
  <mergeCells count="23">
    <mergeCell ref="BU61:BV61"/>
    <mergeCell ref="AE13:AE14"/>
    <mergeCell ref="AC13:AC14"/>
    <mergeCell ref="AA12:AD12"/>
    <mergeCell ref="BJ12:BR12"/>
    <mergeCell ref="AX12:BA12"/>
    <mergeCell ref="AE12:AP12"/>
    <mergeCell ref="AF5:AJ10"/>
    <mergeCell ref="T12:V12"/>
    <mergeCell ref="BU51:BV51"/>
    <mergeCell ref="AR12:AV12"/>
    <mergeCell ref="BG12:BI12"/>
    <mergeCell ref="BB12:BF12"/>
    <mergeCell ref="BL63:BU63"/>
    <mergeCell ref="O13:O14"/>
    <mergeCell ref="P12:R12"/>
    <mergeCell ref="N12:O12"/>
    <mergeCell ref="BV13:BV14"/>
    <mergeCell ref="BU13:BU14"/>
    <mergeCell ref="Y12:Z12"/>
    <mergeCell ref="BT12:BV12"/>
    <mergeCell ref="W12:X12"/>
    <mergeCell ref="BU62:BV6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syndicate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reghabi-book</dc:creator>
  <cp:keywords/>
  <dc:description/>
  <cp:lastModifiedBy>danaii</cp:lastModifiedBy>
  <dcterms:created xsi:type="dcterms:W3CDTF">2018-02-21T06:01:06Z</dcterms:created>
  <dcterms:modified xsi:type="dcterms:W3CDTF">2018-06-24T07:30:22Z</dcterms:modified>
  <cp:category/>
  <cp:version/>
  <cp:contentType/>
  <cp:contentStatus/>
</cp:coreProperties>
</file>